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aveExternalLinkValues="0" codeName="ThisWorkbook"/>
  <mc:AlternateContent xmlns:mc="http://schemas.openxmlformats.org/markup-compatibility/2006">
    <mc:Choice Requires="x15">
      <x15ac:absPath xmlns:x15ac="http://schemas.microsoft.com/office/spreadsheetml/2010/11/ac" url="C:\Users\mjurcic\Desktop\"/>
    </mc:Choice>
  </mc:AlternateContent>
  <xr:revisionPtr revIDLastSave="0" documentId="8_{FAF32077-7E28-46AA-8E86-7266502FE244}" xr6:coauthVersionLast="47" xr6:coauthVersionMax="47" xr10:uidLastSave="{00000000-0000-0000-0000-000000000000}"/>
  <bookViews>
    <workbookView xWindow="-108" yWindow="-108" windowWidth="23256" windowHeight="12576" firstSheet="1" activeTab="1" xr2:uid="{00000000-000D-0000-FFFF-FFFF00000000}"/>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_xlnm.Print_Titles" localSheetId="3">Bilanca!$2:$7</definedName>
    <definedName name="_xlnm.Print_Titles" localSheetId="5">Dodatni!$2:$7</definedName>
    <definedName name="_xlnm.Print_Titles" localSheetId="9">Kont!$7:$7</definedName>
    <definedName name="_xlnm.Print_Titles" localSheetId="8">PK!$A:$H,PK!$2:$7</definedName>
    <definedName name="ODST">Kont!$AC$2</definedName>
    <definedName name="OLE_LINK3" localSheetId="3">Bilanca!$A$8</definedName>
    <definedName name="_xlnm.Print_Area" localSheetId="3">Bilanca!$A$2:$J$69</definedName>
    <definedName name="_xlnm.Print_Area" localSheetId="5">Dodatni!$A$2:$J$15</definedName>
    <definedName name="_xlnm.Print_Area" localSheetId="9">Kont!$A$8:$J$56</definedName>
    <definedName name="_xlnm.Print_Area" localSheetId="1">Naslovna!$A$2:$J$8</definedName>
    <definedName name="_xlnm.Print_Area" localSheetId="7">NT_D!$A$2:$J$45</definedName>
    <definedName name="_xlnm.Print_Area" localSheetId="6">NT_I!$A$2:$J$41</definedName>
    <definedName name="_xlnm.Print_Area" localSheetId="8">PK!$A$5:$Q$45</definedName>
    <definedName name="_xlnm.Print_Area" localSheetId="4">RDG!$A$2:$J$59</definedName>
    <definedName name="_xlnm.Print_Area" localSheetId="2">RefStr!$A$10:$N$78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0" i="14" l="1"/>
  <c r="K220" i="14"/>
  <c r="L220" i="14"/>
  <c r="M220" i="14"/>
  <c r="N220" i="14"/>
  <c r="O220" i="14"/>
  <c r="P220" i="14"/>
  <c r="Q220" i="14"/>
  <c r="J219" i="14"/>
  <c r="K219" i="14"/>
  <c r="L219" i="14"/>
  <c r="M219" i="14"/>
  <c r="N219" i="14"/>
  <c r="O219" i="14"/>
  <c r="P219" i="14"/>
  <c r="Q219" i="14"/>
  <c r="J218" i="14"/>
  <c r="K218" i="14"/>
  <c r="L218" i="14"/>
  <c r="M218" i="14"/>
  <c r="N218" i="14"/>
  <c r="O218" i="14"/>
  <c r="P218" i="14"/>
  <c r="Q218" i="14"/>
  <c r="J217" i="14"/>
  <c r="K217" i="14"/>
  <c r="L217" i="14"/>
  <c r="M217" i="14"/>
  <c r="N217" i="14"/>
  <c r="O217" i="14"/>
  <c r="P217" i="14"/>
  <c r="Q217" i="14"/>
  <c r="J216" i="14"/>
  <c r="K216" i="14"/>
  <c r="L216" i="14"/>
  <c r="M216" i="14"/>
  <c r="N216" i="14"/>
  <c r="O216" i="14"/>
  <c r="P216" i="14"/>
  <c r="Q216" i="14"/>
  <c r="J214" i="14"/>
  <c r="K214" i="14"/>
  <c r="L214" i="14"/>
  <c r="M214" i="14"/>
  <c r="N214" i="14"/>
  <c r="O214" i="14"/>
  <c r="P214" i="14"/>
  <c r="Q214" i="14"/>
  <c r="J213" i="14"/>
  <c r="K213" i="14"/>
  <c r="L213" i="14"/>
  <c r="M213" i="14"/>
  <c r="N213" i="14"/>
  <c r="O213" i="14"/>
  <c r="P213" i="14"/>
  <c r="Q213" i="14"/>
  <c r="J212" i="14"/>
  <c r="K212" i="14"/>
  <c r="L212" i="14"/>
  <c r="M212" i="14"/>
  <c r="N212" i="14"/>
  <c r="O212" i="14"/>
  <c r="P212" i="14"/>
  <c r="Q212" i="14"/>
  <c r="J211" i="14"/>
  <c r="K211" i="14"/>
  <c r="L211" i="14"/>
  <c r="M211" i="14"/>
  <c r="N211" i="14"/>
  <c r="O211" i="14"/>
  <c r="P211" i="14"/>
  <c r="Q211" i="14"/>
  <c r="J210" i="14"/>
  <c r="K210" i="14"/>
  <c r="L210" i="14"/>
  <c r="M210" i="14"/>
  <c r="N210" i="14"/>
  <c r="O210" i="14"/>
  <c r="P210" i="14"/>
  <c r="Q210" i="14"/>
  <c r="J209" i="14"/>
  <c r="K209" i="14"/>
  <c r="L209" i="14"/>
  <c r="M209" i="14"/>
  <c r="N209" i="14"/>
  <c r="O209" i="14"/>
  <c r="P209" i="14"/>
  <c r="Q209" i="14"/>
  <c r="J208" i="14"/>
  <c r="K208" i="14"/>
  <c r="L208" i="14"/>
  <c r="M208" i="14"/>
  <c r="N208" i="14"/>
  <c r="O208" i="14"/>
  <c r="P208" i="14"/>
  <c r="Q208" i="14"/>
  <c r="J206" i="14"/>
  <c r="K206" i="14"/>
  <c r="L206" i="14"/>
  <c r="M206" i="14"/>
  <c r="N206" i="14"/>
  <c r="O206" i="14"/>
  <c r="P206" i="14"/>
  <c r="Q206" i="14"/>
  <c r="J205" i="14"/>
  <c r="K205" i="14"/>
  <c r="L205" i="14"/>
  <c r="M205" i="14"/>
  <c r="N205" i="14"/>
  <c r="O205" i="14"/>
  <c r="P205" i="14"/>
  <c r="Q205" i="14"/>
  <c r="J204" i="14"/>
  <c r="K204" i="14"/>
  <c r="L204" i="14"/>
  <c r="M204" i="14"/>
  <c r="N204" i="14"/>
  <c r="O204" i="14"/>
  <c r="P204" i="14"/>
  <c r="Q204" i="14"/>
  <c r="J202" i="14"/>
  <c r="K202" i="14"/>
  <c r="L202" i="14"/>
  <c r="M202" i="14"/>
  <c r="N202" i="14"/>
  <c r="O202" i="14"/>
  <c r="P202" i="14"/>
  <c r="Q202" i="14"/>
  <c r="J201" i="14"/>
  <c r="K201" i="14"/>
  <c r="L201" i="14"/>
  <c r="M201" i="14"/>
  <c r="N201" i="14"/>
  <c r="O201" i="14"/>
  <c r="P201" i="14"/>
  <c r="Q201" i="14"/>
  <c r="J200" i="14"/>
  <c r="K200" i="14"/>
  <c r="L200" i="14"/>
  <c r="M200" i="14"/>
  <c r="N200" i="14"/>
  <c r="O200" i="14"/>
  <c r="P200" i="14"/>
  <c r="Q200" i="14"/>
  <c r="J199" i="14"/>
  <c r="K199" i="14"/>
  <c r="L199" i="14"/>
  <c r="M199" i="14"/>
  <c r="N199" i="14"/>
  <c r="O199" i="14"/>
  <c r="P199" i="14"/>
  <c r="Q199" i="14"/>
  <c r="J198" i="14"/>
  <c r="K198" i="14"/>
  <c r="L198" i="14"/>
  <c r="M198" i="14"/>
  <c r="N198" i="14"/>
  <c r="O198" i="14"/>
  <c r="P198" i="14"/>
  <c r="Q198" i="14"/>
  <c r="J196" i="14"/>
  <c r="K196" i="14"/>
  <c r="L196" i="14"/>
  <c r="M196" i="14"/>
  <c r="N196" i="14"/>
  <c r="O196" i="14"/>
  <c r="P196" i="14"/>
  <c r="Q196" i="14"/>
  <c r="J195" i="14"/>
  <c r="K195" i="14"/>
  <c r="L195" i="14"/>
  <c r="M195" i="14"/>
  <c r="N195" i="14"/>
  <c r="O195" i="14"/>
  <c r="P195" i="14"/>
  <c r="Q195" i="14"/>
  <c r="J194" i="14"/>
  <c r="K194" i="14"/>
  <c r="L194" i="14"/>
  <c r="M194" i="14"/>
  <c r="N194" i="14"/>
  <c r="O194" i="14"/>
  <c r="P194" i="14"/>
  <c r="Q194" i="14"/>
  <c r="J193" i="14"/>
  <c r="K193" i="14"/>
  <c r="L193" i="14"/>
  <c r="M193" i="14"/>
  <c r="N193" i="14"/>
  <c r="O193" i="14"/>
  <c r="P193" i="14"/>
  <c r="Q193" i="14"/>
  <c r="J192" i="14"/>
  <c r="K192" i="14"/>
  <c r="L192" i="14"/>
  <c r="M192" i="14"/>
  <c r="N192" i="14"/>
  <c r="O192" i="14"/>
  <c r="P192" i="14"/>
  <c r="Q192" i="14"/>
  <c r="J191" i="14"/>
  <c r="K191" i="14"/>
  <c r="L191" i="14"/>
  <c r="M191" i="14"/>
  <c r="N191" i="14"/>
  <c r="O191" i="14"/>
  <c r="P191" i="14"/>
  <c r="Q191" i="14"/>
  <c r="J190" i="14"/>
  <c r="K190" i="14"/>
  <c r="L190" i="14"/>
  <c r="M190" i="14"/>
  <c r="N190" i="14"/>
  <c r="O190" i="14"/>
  <c r="P190" i="14"/>
  <c r="Q190" i="14"/>
  <c r="J188" i="14"/>
  <c r="K188" i="14"/>
  <c r="L188" i="14"/>
  <c r="M188" i="14"/>
  <c r="N188" i="14"/>
  <c r="O188" i="14"/>
  <c r="P188" i="14"/>
  <c r="Q188" i="14"/>
  <c r="J187" i="14"/>
  <c r="K187" i="14"/>
  <c r="L187" i="14"/>
  <c r="M187" i="14"/>
  <c r="N187" i="14"/>
  <c r="O187" i="14"/>
  <c r="P187" i="14"/>
  <c r="Q187" i="14"/>
  <c r="J186" i="14"/>
  <c r="K186" i="14"/>
  <c r="L186" i="14"/>
  <c r="M186" i="14"/>
  <c r="N186" i="14"/>
  <c r="O186" i="14"/>
  <c r="P186" i="14"/>
  <c r="Q186" i="14"/>
  <c r="J184" i="14"/>
  <c r="K184" i="14"/>
  <c r="I184" i="14"/>
  <c r="J182" i="14"/>
  <c r="K182" i="14"/>
  <c r="I182" i="14"/>
  <c r="J181" i="14"/>
  <c r="K181" i="14"/>
  <c r="I181" i="14"/>
  <c r="J180" i="14"/>
  <c r="K180" i="14"/>
  <c r="I180" i="14"/>
  <c r="J179" i="14"/>
  <c r="K179" i="14"/>
  <c r="I179" i="14"/>
  <c r="J178" i="14"/>
  <c r="K178" i="14"/>
  <c r="I178" i="14"/>
  <c r="J177" i="14"/>
  <c r="K177" i="14"/>
  <c r="I177" i="14"/>
  <c r="J175" i="14"/>
  <c r="K175" i="14"/>
  <c r="I175" i="14"/>
  <c r="J174" i="14"/>
  <c r="K174" i="14"/>
  <c r="I174" i="14"/>
  <c r="J173" i="14"/>
  <c r="K173" i="14"/>
  <c r="I173" i="14"/>
  <c r="J172" i="14"/>
  <c r="K172" i="14"/>
  <c r="I172" i="14"/>
  <c r="J171" i="14"/>
  <c r="K171" i="14"/>
  <c r="I171" i="14"/>
  <c r="J170" i="14"/>
  <c r="K170" i="14"/>
  <c r="I170" i="14"/>
  <c r="J169" i="14"/>
  <c r="K169" i="14"/>
  <c r="I169" i="14"/>
  <c r="J168" i="14"/>
  <c r="K168" i="14"/>
  <c r="I168" i="14"/>
  <c r="J167" i="14"/>
  <c r="K167" i="14"/>
  <c r="I167" i="14"/>
  <c r="J166" i="14"/>
  <c r="K166" i="14"/>
  <c r="I166" i="14"/>
  <c r="J165" i="14"/>
  <c r="K165" i="14"/>
  <c r="I165" i="14"/>
  <c r="J164" i="14"/>
  <c r="K164" i="14"/>
  <c r="I164" i="14"/>
  <c r="J163" i="14"/>
  <c r="K163" i="14"/>
  <c r="I163" i="14"/>
  <c r="J162" i="14"/>
  <c r="K162" i="14"/>
  <c r="I162" i="14"/>
  <c r="J161" i="14"/>
  <c r="K161" i="14"/>
  <c r="I161" i="14"/>
  <c r="J160" i="14"/>
  <c r="K160" i="14"/>
  <c r="I160" i="14"/>
  <c r="J159" i="14"/>
  <c r="K159" i="14"/>
  <c r="I159" i="14"/>
  <c r="J158" i="14"/>
  <c r="K158" i="14"/>
  <c r="I158" i="14"/>
  <c r="J157" i="14"/>
  <c r="K157" i="14"/>
  <c r="I157" i="14"/>
  <c r="J156" i="14"/>
  <c r="K156" i="14"/>
  <c r="I156" i="14"/>
  <c r="J155" i="14"/>
  <c r="K155" i="14"/>
  <c r="I155" i="14"/>
  <c r="J154" i="14"/>
  <c r="K154" i="14"/>
  <c r="I154" i="14"/>
  <c r="J153" i="14"/>
  <c r="K153" i="14"/>
  <c r="I153" i="14"/>
  <c r="J152" i="14"/>
  <c r="K152" i="14"/>
  <c r="I152" i="14"/>
  <c r="J151" i="14"/>
  <c r="K151" i="14"/>
  <c r="I151" i="14"/>
  <c r="J150" i="14"/>
  <c r="K150" i="14"/>
  <c r="I150" i="14"/>
  <c r="J147" i="14"/>
  <c r="K147" i="14"/>
  <c r="I147" i="14"/>
  <c r="J145" i="14"/>
  <c r="K145" i="14"/>
  <c r="I145" i="14"/>
  <c r="J144" i="14"/>
  <c r="K144" i="14"/>
  <c r="I144" i="14"/>
  <c r="J143" i="14"/>
  <c r="K143" i="14"/>
  <c r="I143" i="14"/>
  <c r="J142" i="14"/>
  <c r="K142" i="14"/>
  <c r="I142" i="14"/>
  <c r="J141" i="14"/>
  <c r="K141" i="14"/>
  <c r="I141" i="14"/>
  <c r="J139" i="14"/>
  <c r="K139" i="14"/>
  <c r="I139" i="14"/>
  <c r="J138" i="14"/>
  <c r="K138" i="14"/>
  <c r="I138" i="14"/>
  <c r="J137" i="14"/>
  <c r="K137" i="14"/>
  <c r="I137" i="14"/>
  <c r="J136" i="14"/>
  <c r="K136" i="14"/>
  <c r="I136" i="14"/>
  <c r="J135" i="14"/>
  <c r="K135" i="14"/>
  <c r="I135" i="14"/>
  <c r="J134" i="14"/>
  <c r="K134" i="14"/>
  <c r="I134" i="14"/>
  <c r="J133" i="14"/>
  <c r="K133" i="14"/>
  <c r="I133" i="14"/>
  <c r="J132" i="14"/>
  <c r="K132" i="14"/>
  <c r="I132" i="14"/>
  <c r="J131" i="14"/>
  <c r="K131" i="14"/>
  <c r="I131" i="14"/>
  <c r="J130" i="14"/>
  <c r="K130" i="14"/>
  <c r="I130" i="14"/>
  <c r="J129" i="14"/>
  <c r="K129" i="14"/>
  <c r="I129" i="14"/>
  <c r="J128" i="14"/>
  <c r="K128" i="14"/>
  <c r="I128" i="14"/>
  <c r="J127" i="14"/>
  <c r="K127" i="14"/>
  <c r="I127" i="14"/>
  <c r="J126" i="14"/>
  <c r="K126" i="14"/>
  <c r="I126" i="14"/>
  <c r="J125" i="14"/>
  <c r="K125" i="14"/>
  <c r="I125" i="14"/>
  <c r="J124" i="14"/>
  <c r="K124" i="14"/>
  <c r="I124" i="14"/>
  <c r="J123" i="14"/>
  <c r="K123" i="14"/>
  <c r="I123" i="14"/>
  <c r="J122" i="14"/>
  <c r="K122" i="14"/>
  <c r="I122" i="14"/>
  <c r="J121" i="14"/>
  <c r="K121" i="14"/>
  <c r="I121" i="14"/>
  <c r="J120" i="14"/>
  <c r="K120" i="14"/>
  <c r="I120" i="14"/>
  <c r="J119" i="14"/>
  <c r="K119" i="14"/>
  <c r="I119" i="14"/>
  <c r="J118" i="14"/>
  <c r="K118" i="14"/>
  <c r="I118" i="14"/>
  <c r="J117" i="14"/>
  <c r="K117" i="14"/>
  <c r="I117" i="14"/>
  <c r="J115" i="14"/>
  <c r="K115" i="14"/>
  <c r="I115" i="14"/>
  <c r="J114" i="14"/>
  <c r="K114" i="14"/>
  <c r="I114" i="14"/>
  <c r="J113" i="14"/>
  <c r="K113" i="14"/>
  <c r="I113" i="14"/>
  <c r="J112" i="14"/>
  <c r="K112" i="14"/>
  <c r="I112" i="14"/>
  <c r="J111" i="14"/>
  <c r="K111" i="14"/>
  <c r="I111" i="14"/>
  <c r="J110" i="14"/>
  <c r="K110" i="14"/>
  <c r="I110" i="14"/>
  <c r="J109" i="14"/>
  <c r="K109" i="14"/>
  <c r="I109" i="14"/>
  <c r="J108" i="14"/>
  <c r="K108" i="14"/>
  <c r="I108" i="14"/>
  <c r="J107" i="14"/>
  <c r="K107" i="14"/>
  <c r="I107" i="14"/>
  <c r="J105" i="14"/>
  <c r="K105" i="14"/>
  <c r="I105" i="14"/>
  <c r="J104" i="14"/>
  <c r="K104" i="14"/>
  <c r="I104" i="14"/>
  <c r="J103" i="14"/>
  <c r="K103" i="14"/>
  <c r="I103" i="14"/>
  <c r="J101" i="14"/>
  <c r="K101" i="14"/>
  <c r="I101" i="14"/>
  <c r="J100" i="14"/>
  <c r="K100" i="14"/>
  <c r="I100" i="14"/>
  <c r="J99" i="14"/>
  <c r="K99" i="14"/>
  <c r="I99" i="14"/>
  <c r="J97" i="14"/>
  <c r="K97" i="14"/>
  <c r="I97" i="14"/>
  <c r="J96" i="14"/>
  <c r="K96" i="14"/>
  <c r="I96" i="14"/>
  <c r="J93" i="14"/>
  <c r="K93" i="14"/>
  <c r="I93" i="14"/>
  <c r="J92" i="14"/>
  <c r="K92" i="14"/>
  <c r="I92" i="14"/>
  <c r="J91" i="14"/>
  <c r="K91" i="14"/>
  <c r="I91" i="14"/>
  <c r="J90" i="14"/>
  <c r="K90" i="14"/>
  <c r="I90" i="14"/>
  <c r="J86" i="14"/>
  <c r="K86" i="14"/>
  <c r="I86" i="14"/>
  <c r="J83" i="14"/>
  <c r="K83" i="14"/>
  <c r="I83" i="14"/>
  <c r="J82" i="14"/>
  <c r="K82" i="14"/>
  <c r="I82" i="14"/>
  <c r="J81" i="14"/>
  <c r="K81" i="14"/>
  <c r="I81" i="14"/>
  <c r="J80" i="14"/>
  <c r="K80" i="14"/>
  <c r="I80" i="14"/>
  <c r="J79" i="14"/>
  <c r="K79" i="14"/>
  <c r="I79" i="14"/>
  <c r="J77" i="14"/>
  <c r="K77" i="14"/>
  <c r="I77" i="14"/>
  <c r="J76" i="14"/>
  <c r="K76" i="14"/>
  <c r="I76" i="14"/>
  <c r="J75" i="14"/>
  <c r="K75" i="14"/>
  <c r="I75" i="14"/>
  <c r="J74" i="14"/>
  <c r="K74" i="14"/>
  <c r="I74" i="14"/>
  <c r="J73" i="14"/>
  <c r="K73" i="14"/>
  <c r="I73" i="14"/>
  <c r="J72" i="14"/>
  <c r="K72" i="14"/>
  <c r="I72" i="14"/>
  <c r="J71" i="14"/>
  <c r="K71" i="14"/>
  <c r="I71" i="14"/>
  <c r="J69" i="14"/>
  <c r="K69" i="14"/>
  <c r="I69" i="14"/>
  <c r="J68" i="14"/>
  <c r="K68" i="14"/>
  <c r="I68" i="14"/>
  <c r="J66" i="14"/>
  <c r="K66" i="14"/>
  <c r="I66" i="14"/>
  <c r="J65" i="14"/>
  <c r="K65" i="14"/>
  <c r="I65" i="14"/>
  <c r="J64" i="14"/>
  <c r="K64" i="14"/>
  <c r="I64" i="14"/>
  <c r="J63" i="14"/>
  <c r="K63" i="14"/>
  <c r="I63" i="14"/>
  <c r="J62" i="14"/>
  <c r="K62" i="14"/>
  <c r="I62" i="14"/>
  <c r="J60" i="14"/>
  <c r="K60" i="14"/>
  <c r="I60" i="14"/>
  <c r="J59" i="14"/>
  <c r="K59" i="14"/>
  <c r="I59" i="14"/>
  <c r="J58" i="14"/>
  <c r="K58" i="14"/>
  <c r="I58" i="14"/>
  <c r="J56" i="14"/>
  <c r="K56" i="14"/>
  <c r="I56" i="14"/>
  <c r="J55" i="14"/>
  <c r="K55" i="14"/>
  <c r="I55" i="14"/>
  <c r="J54" i="14"/>
  <c r="K54" i="14"/>
  <c r="I54" i="14"/>
  <c r="J52" i="14"/>
  <c r="K52" i="14"/>
  <c r="I52" i="14"/>
  <c r="J51" i="14"/>
  <c r="K51" i="14"/>
  <c r="I51" i="14"/>
  <c r="J50" i="14"/>
  <c r="K50" i="14"/>
  <c r="I50" i="14"/>
  <c r="J49" i="14"/>
  <c r="K49" i="14"/>
  <c r="I49" i="14"/>
  <c r="J48" i="14"/>
  <c r="K48" i="14"/>
  <c r="I48" i="14"/>
  <c r="B71" i="14"/>
  <c r="J46" i="14"/>
  <c r="K46" i="14"/>
  <c r="I46" i="14"/>
  <c r="J43" i="14"/>
  <c r="K43" i="14"/>
  <c r="I43" i="14"/>
  <c r="J42" i="14"/>
  <c r="K42" i="14"/>
  <c r="I42" i="14"/>
  <c r="J41" i="14"/>
  <c r="K41" i="14"/>
  <c r="I41" i="14"/>
  <c r="J40" i="14"/>
  <c r="K40" i="14"/>
  <c r="I40" i="14"/>
  <c r="J38" i="14"/>
  <c r="K38" i="14"/>
  <c r="I38" i="14"/>
  <c r="J37" i="14"/>
  <c r="K37" i="14"/>
  <c r="I37" i="14"/>
  <c r="J35" i="14"/>
  <c r="K35" i="14"/>
  <c r="I35" i="14"/>
  <c r="J34" i="14"/>
  <c r="K34" i="14"/>
  <c r="I34" i="14"/>
  <c r="J33" i="14"/>
  <c r="K33" i="14"/>
  <c r="I33" i="14"/>
  <c r="J32" i="14"/>
  <c r="K32" i="14"/>
  <c r="I32" i="14"/>
  <c r="J31" i="14"/>
  <c r="K31" i="14"/>
  <c r="I31" i="14"/>
  <c r="J30" i="14"/>
  <c r="K30" i="14"/>
  <c r="I30" i="14"/>
  <c r="J29" i="14"/>
  <c r="K29" i="14"/>
  <c r="I29" i="14"/>
  <c r="J27" i="14"/>
  <c r="K27" i="14"/>
  <c r="I27" i="14"/>
  <c r="J25" i="14"/>
  <c r="K25" i="14"/>
  <c r="I25" i="14"/>
  <c r="J24" i="14"/>
  <c r="K24" i="14"/>
  <c r="I24" i="14"/>
  <c r="J23" i="14"/>
  <c r="K23" i="14"/>
  <c r="I23" i="14"/>
  <c r="J22" i="14"/>
  <c r="K22" i="14"/>
  <c r="I22" i="14"/>
  <c r="J21" i="14"/>
  <c r="K21" i="14"/>
  <c r="I21" i="14"/>
  <c r="J19" i="14"/>
  <c r="K19" i="14"/>
  <c r="I19" i="14"/>
  <c r="J18" i="14"/>
  <c r="K18" i="14"/>
  <c r="I18" i="14"/>
  <c r="J17" i="14"/>
  <c r="K17" i="14"/>
  <c r="I17" i="14"/>
  <c r="J15" i="14"/>
  <c r="K15" i="14"/>
  <c r="I15" i="14"/>
  <c r="J14" i="14"/>
  <c r="K14" i="14"/>
  <c r="I14" i="14"/>
  <c r="J13" i="14"/>
  <c r="K13" i="14"/>
  <c r="I13" i="14"/>
  <c r="J12" i="14"/>
  <c r="K12" i="14"/>
  <c r="I12" i="14"/>
  <c r="J11" i="14"/>
  <c r="K11" i="14"/>
  <c r="I11" i="14"/>
  <c r="J10" i="14"/>
  <c r="K10" i="14"/>
  <c r="I10" i="14"/>
  <c r="J9" i="14"/>
  <c r="K9" i="14"/>
  <c r="I9" i="14"/>
  <c r="J8" i="14"/>
  <c r="K8" i="14"/>
  <c r="I8" i="14"/>
  <c r="J7" i="14"/>
  <c r="K7" i="14"/>
  <c r="I7" i="14"/>
  <c r="J6" i="14"/>
  <c r="K6" i="14"/>
  <c r="I6" i="14"/>
  <c r="J5" i="14"/>
  <c r="K5" i="14"/>
  <c r="I5" i="14"/>
  <c r="J4" i="14"/>
  <c r="K4" i="14"/>
  <c r="I4" i="14"/>
  <c r="P4" i="20"/>
  <c r="I55" i="1"/>
  <c r="J47" i="14" s="1"/>
  <c r="J55" i="1"/>
  <c r="K47" i="14" s="1"/>
  <c r="AC3" i="8"/>
  <c r="J12" i="20"/>
  <c r="K189" i="14" s="1"/>
  <c r="K12" i="20"/>
  <c r="L189" i="14" s="1"/>
  <c r="L12" i="20"/>
  <c r="M189" i="14" s="1"/>
  <c r="M12" i="20"/>
  <c r="N189" i="14" s="1"/>
  <c r="N12" i="20"/>
  <c r="O189" i="14" s="1"/>
  <c r="I12" i="20"/>
  <c r="J189" i="14" s="1"/>
  <c r="Q6" i="2"/>
  <c r="Q5" i="2"/>
  <c r="Q6" i="1"/>
  <c r="Q5" i="1"/>
  <c r="J52" i="2"/>
  <c r="K102" i="14" s="1"/>
  <c r="I52" i="2"/>
  <c r="J102" i="14" s="1"/>
  <c r="I102" i="14" s="1"/>
  <c r="J48" i="2"/>
  <c r="K98" i="14" s="1"/>
  <c r="I48" i="2"/>
  <c r="J98" i="14" s="1"/>
  <c r="I98" i="14" s="1"/>
  <c r="J45" i="2"/>
  <c r="K95" i="14" s="1"/>
  <c r="I45" i="2"/>
  <c r="J95" i="14" s="1"/>
  <c r="I95" i="14" s="1"/>
  <c r="J44" i="2"/>
  <c r="K94" i="14" s="1"/>
  <c r="I44" i="2"/>
  <c r="J94" i="14" s="1"/>
  <c r="I94" i="14" s="1"/>
  <c r="J39" i="2"/>
  <c r="K89" i="14" s="1"/>
  <c r="I39" i="2"/>
  <c r="J89" i="14" s="1"/>
  <c r="I89" i="14" s="1"/>
  <c r="J38" i="2"/>
  <c r="K88" i="14" s="1"/>
  <c r="I38" i="2"/>
  <c r="J27" i="2"/>
  <c r="I27" i="2"/>
  <c r="J15" i="2"/>
  <c r="K67" i="14" s="1"/>
  <c r="I15" i="2"/>
  <c r="J67" i="14" s="1"/>
  <c r="I67" i="14" s="1"/>
  <c r="J9" i="2"/>
  <c r="I9" i="2"/>
  <c r="J61" i="1"/>
  <c r="I61" i="1"/>
  <c r="J47" i="1"/>
  <c r="K39" i="14" s="1"/>
  <c r="I47" i="1"/>
  <c r="J39" i="14" s="1"/>
  <c r="I39" i="14" s="1"/>
  <c r="J44" i="1"/>
  <c r="K36" i="14" s="1"/>
  <c r="I44" i="1"/>
  <c r="J36" i="14" s="1"/>
  <c r="I36" i="14" s="1"/>
  <c r="J36" i="1"/>
  <c r="I36" i="1"/>
  <c r="J27" i="1"/>
  <c r="K20" i="14" s="1"/>
  <c r="I27" i="1"/>
  <c r="J20" i="14" s="1"/>
  <c r="I20" i="14" s="1"/>
  <c r="J23" i="1"/>
  <c r="K16" i="14" s="1"/>
  <c r="I23" i="1"/>
  <c r="J16" i="14" s="1"/>
  <c r="I16" i="14" s="1"/>
  <c r="J10" i="1"/>
  <c r="K3" i="14" s="1"/>
  <c r="I10" i="1"/>
  <c r="J3" i="14" s="1"/>
  <c r="I3" i="14" s="1"/>
  <c r="J9" i="1"/>
  <c r="I9" i="1"/>
  <c r="J33" i="6"/>
  <c r="K140" i="14" s="1"/>
  <c r="I33" i="6"/>
  <c r="J140" i="14" s="1"/>
  <c r="I140" i="14" s="1"/>
  <c r="J9" i="6"/>
  <c r="I9" i="6"/>
  <c r="J36" i="5"/>
  <c r="K176" i="14" s="1"/>
  <c r="I36" i="5"/>
  <c r="J176" i="14" s="1"/>
  <c r="I176" i="14" s="1"/>
  <c r="J9" i="5"/>
  <c r="I9" i="5"/>
  <c r="AC2" i="8"/>
  <c r="O36" i="8"/>
  <c r="N36" i="8"/>
  <c r="Y8" i="8"/>
  <c r="AC31" i="8"/>
  <c r="W7" i="8"/>
  <c r="AC25" i="8"/>
  <c r="I4" i="1"/>
  <c r="I4" i="5"/>
  <c r="I4" i="6"/>
  <c r="I4" i="10"/>
  <c r="I4" i="2"/>
  <c r="B70" i="14"/>
  <c r="B69" i="14"/>
  <c r="B68" i="14"/>
  <c r="B67" i="14"/>
  <c r="B66" i="14"/>
  <c r="B65" i="14"/>
  <c r="B64" i="14"/>
  <c r="B63" i="14"/>
  <c r="B62" i="14"/>
  <c r="B9" i="14"/>
  <c r="Q15" i="4"/>
  <c r="B11" i="14"/>
  <c r="Q17" i="4"/>
  <c r="B12" i="14"/>
  <c r="Q19" i="4"/>
  <c r="B21" i="14"/>
  <c r="Q33" i="4"/>
  <c r="B43" i="14"/>
  <c r="Q44" i="4"/>
  <c r="F2" i="14"/>
  <c r="F3" i="14"/>
  <c r="H3" i="14"/>
  <c r="F4" i="14"/>
  <c r="H4" i="14"/>
  <c r="F5" i="14"/>
  <c r="H5" i="14"/>
  <c r="F6" i="14"/>
  <c r="H6" i="14"/>
  <c r="F7" i="14"/>
  <c r="H7" i="14"/>
  <c r="F8" i="14"/>
  <c r="H8" i="14"/>
  <c r="F9" i="14"/>
  <c r="H9" i="14"/>
  <c r="F10" i="14"/>
  <c r="H10" i="14"/>
  <c r="F11" i="14"/>
  <c r="H11" i="14"/>
  <c r="F12" i="14"/>
  <c r="H12" i="14"/>
  <c r="F13" i="14"/>
  <c r="H13" i="14"/>
  <c r="F14" i="14"/>
  <c r="H14" i="14"/>
  <c r="F15" i="14"/>
  <c r="H15" i="14"/>
  <c r="F16" i="14"/>
  <c r="H16" i="14"/>
  <c r="F17" i="14"/>
  <c r="H17" i="14"/>
  <c r="F18" i="14"/>
  <c r="H18" i="14"/>
  <c r="F19" i="14"/>
  <c r="H19" i="14"/>
  <c r="F20" i="14"/>
  <c r="H20" i="14"/>
  <c r="F21" i="14"/>
  <c r="H21" i="14"/>
  <c r="F22" i="14"/>
  <c r="H22" i="14"/>
  <c r="F23" i="14"/>
  <c r="H23" i="14"/>
  <c r="F24" i="14"/>
  <c r="H24" i="14"/>
  <c r="F25" i="14"/>
  <c r="H25" i="14"/>
  <c r="F26" i="14"/>
  <c r="F27" i="14"/>
  <c r="H27" i="14"/>
  <c r="F28" i="14"/>
  <c r="F29" i="14"/>
  <c r="H29" i="14"/>
  <c r="F30" i="14"/>
  <c r="H30" i="14"/>
  <c r="F31" i="14"/>
  <c r="H31" i="14"/>
  <c r="F32" i="14"/>
  <c r="H32" i="14"/>
  <c r="F33" i="14"/>
  <c r="H33" i="14"/>
  <c r="F34" i="14"/>
  <c r="H34" i="14"/>
  <c r="F35" i="14"/>
  <c r="H35" i="14"/>
  <c r="F36" i="14"/>
  <c r="H36" i="14"/>
  <c r="F37" i="14"/>
  <c r="H37" i="14"/>
  <c r="F38" i="14"/>
  <c r="H38" i="14"/>
  <c r="F39" i="14"/>
  <c r="H39" i="14"/>
  <c r="F40" i="14"/>
  <c r="H40" i="14"/>
  <c r="F41" i="14"/>
  <c r="H41" i="14"/>
  <c r="F42" i="14"/>
  <c r="H42" i="14"/>
  <c r="F43" i="14"/>
  <c r="H43" i="14"/>
  <c r="F44" i="14"/>
  <c r="F45" i="14"/>
  <c r="F46" i="14"/>
  <c r="H46" i="14"/>
  <c r="F47" i="14"/>
  <c r="H47" i="14"/>
  <c r="F48" i="14"/>
  <c r="H48" i="14"/>
  <c r="F49" i="14"/>
  <c r="H49" i="14"/>
  <c r="F50" i="14"/>
  <c r="H50" i="14"/>
  <c r="F51" i="14"/>
  <c r="H51" i="14"/>
  <c r="F52" i="14"/>
  <c r="H52" i="14"/>
  <c r="F53" i="14"/>
  <c r="F54" i="14"/>
  <c r="H54" i="14"/>
  <c r="F55" i="14"/>
  <c r="H55" i="14"/>
  <c r="F56" i="14"/>
  <c r="H56" i="14"/>
  <c r="F57" i="14"/>
  <c r="F58" i="14"/>
  <c r="H58" i="14"/>
  <c r="F59" i="14"/>
  <c r="H59" i="14"/>
  <c r="F60" i="14"/>
  <c r="H60" i="14"/>
  <c r="F61" i="14"/>
  <c r="F62" i="14"/>
  <c r="H62" i="14"/>
  <c r="F63" i="14"/>
  <c r="H63" i="14"/>
  <c r="F64" i="14"/>
  <c r="H64" i="14"/>
  <c r="F65" i="14"/>
  <c r="H65" i="14"/>
  <c r="F66" i="14"/>
  <c r="H66" i="14"/>
  <c r="F67" i="14"/>
  <c r="H67" i="14"/>
  <c r="F68" i="14"/>
  <c r="H68" i="14"/>
  <c r="F69" i="14"/>
  <c r="H69" i="14"/>
  <c r="F70" i="14"/>
  <c r="F71" i="14"/>
  <c r="H71" i="14"/>
  <c r="F72" i="14"/>
  <c r="H72" i="14"/>
  <c r="F73" i="14"/>
  <c r="H73" i="14"/>
  <c r="F74" i="14"/>
  <c r="H74" i="14"/>
  <c r="F75" i="14"/>
  <c r="H75" i="14"/>
  <c r="F76" i="14"/>
  <c r="H76" i="14"/>
  <c r="F77" i="14"/>
  <c r="H77" i="14"/>
  <c r="F78" i="14"/>
  <c r="F79" i="14"/>
  <c r="H79" i="14"/>
  <c r="F80" i="14"/>
  <c r="H80" i="14"/>
  <c r="F81" i="14"/>
  <c r="H81" i="14"/>
  <c r="F82" i="14"/>
  <c r="H82" i="14"/>
  <c r="F83" i="14"/>
  <c r="H83" i="14"/>
  <c r="F84" i="14"/>
  <c r="F85" i="14"/>
  <c r="F86" i="14"/>
  <c r="H86" i="14"/>
  <c r="F87" i="14"/>
  <c r="F88" i="14"/>
  <c r="F89" i="14"/>
  <c r="H89" i="14"/>
  <c r="F90" i="14"/>
  <c r="H90" i="14"/>
  <c r="F91" i="14"/>
  <c r="H91" i="14"/>
  <c r="F92" i="14"/>
  <c r="H92" i="14"/>
  <c r="F93" i="14"/>
  <c r="H93" i="14"/>
  <c r="F94" i="14"/>
  <c r="H94" i="14"/>
  <c r="F95" i="14"/>
  <c r="H95" i="14"/>
  <c r="F96" i="14"/>
  <c r="H96" i="14"/>
  <c r="F97" i="14"/>
  <c r="H97" i="14"/>
  <c r="F98" i="14"/>
  <c r="H98" i="14"/>
  <c r="F99" i="14"/>
  <c r="H99" i="14"/>
  <c r="F100" i="14"/>
  <c r="H100" i="14"/>
  <c r="F101" i="14"/>
  <c r="H101" i="14"/>
  <c r="F102" i="14"/>
  <c r="H102" i="14"/>
  <c r="F103" i="14"/>
  <c r="H103" i="14"/>
  <c r="F104" i="14"/>
  <c r="H104" i="14"/>
  <c r="F105" i="14"/>
  <c r="H105" i="14"/>
  <c r="F106" i="14"/>
  <c r="F107" i="14"/>
  <c r="H107" i="14"/>
  <c r="F108" i="14"/>
  <c r="H108" i="14"/>
  <c r="F109" i="14"/>
  <c r="H109" i="14"/>
  <c r="F110" i="14"/>
  <c r="H110" i="14"/>
  <c r="F111" i="14"/>
  <c r="H111" i="14"/>
  <c r="F112" i="14"/>
  <c r="H112" i="14"/>
  <c r="F113" i="14"/>
  <c r="H113" i="14"/>
  <c r="F114" i="14"/>
  <c r="H114" i="14"/>
  <c r="F115" i="14"/>
  <c r="H115" i="14"/>
  <c r="F116" i="14"/>
  <c r="F117" i="14"/>
  <c r="H117" i="14"/>
  <c r="F118" i="14"/>
  <c r="H118" i="14"/>
  <c r="F119" i="14"/>
  <c r="H119" i="14"/>
  <c r="F120" i="14"/>
  <c r="H120" i="14"/>
  <c r="F121" i="14"/>
  <c r="H121" i="14"/>
  <c r="F122" i="14"/>
  <c r="H122" i="14"/>
  <c r="F123" i="14"/>
  <c r="H123" i="14"/>
  <c r="F124" i="14"/>
  <c r="H124" i="14"/>
  <c r="F125" i="14"/>
  <c r="H125" i="14"/>
  <c r="F126" i="14"/>
  <c r="H126" i="14"/>
  <c r="F127" i="14"/>
  <c r="H127" i="14"/>
  <c r="F128" i="14"/>
  <c r="H128" i="14"/>
  <c r="F129" i="14"/>
  <c r="H129" i="14"/>
  <c r="F130" i="14"/>
  <c r="H130" i="14"/>
  <c r="F131" i="14"/>
  <c r="H131" i="14"/>
  <c r="F132" i="14"/>
  <c r="H132" i="14"/>
  <c r="F133" i="14"/>
  <c r="H133" i="14"/>
  <c r="F134" i="14"/>
  <c r="H134" i="14"/>
  <c r="F135" i="14"/>
  <c r="H135" i="14"/>
  <c r="F136" i="14"/>
  <c r="H136" i="14"/>
  <c r="F137" i="14"/>
  <c r="H137" i="14"/>
  <c r="F138" i="14"/>
  <c r="H138" i="14"/>
  <c r="F139" i="14"/>
  <c r="H139" i="14"/>
  <c r="F140" i="14"/>
  <c r="H140" i="14"/>
  <c r="F141" i="14"/>
  <c r="H141" i="14"/>
  <c r="F142" i="14"/>
  <c r="H142" i="14"/>
  <c r="F143" i="14"/>
  <c r="H143" i="14"/>
  <c r="F144" i="14"/>
  <c r="H144" i="14"/>
  <c r="F145" i="14"/>
  <c r="H145" i="14"/>
  <c r="F146" i="14"/>
  <c r="F147" i="14"/>
  <c r="H147" i="14"/>
  <c r="F148" i="14"/>
  <c r="F149" i="14"/>
  <c r="F150" i="14"/>
  <c r="H150" i="14"/>
  <c r="F151" i="14"/>
  <c r="H151" i="14"/>
  <c r="F152" i="14"/>
  <c r="H152" i="14"/>
  <c r="F153" i="14"/>
  <c r="H153" i="14"/>
  <c r="F154" i="14"/>
  <c r="H154" i="14"/>
  <c r="F155" i="14"/>
  <c r="H155" i="14"/>
  <c r="F156" i="14"/>
  <c r="H156" i="14"/>
  <c r="F157" i="14"/>
  <c r="H157" i="14"/>
  <c r="F158" i="14"/>
  <c r="H158" i="14"/>
  <c r="F159" i="14"/>
  <c r="H159" i="14"/>
  <c r="F160" i="14"/>
  <c r="H160" i="14"/>
  <c r="F161" i="14"/>
  <c r="H161" i="14"/>
  <c r="F162" i="14"/>
  <c r="H162" i="14"/>
  <c r="F163" i="14"/>
  <c r="H163" i="14"/>
  <c r="F164" i="14"/>
  <c r="H164" i="14"/>
  <c r="F165" i="14"/>
  <c r="H165" i="14"/>
  <c r="F166" i="14"/>
  <c r="H166" i="14"/>
  <c r="F167" i="14"/>
  <c r="H167" i="14"/>
  <c r="F168" i="14"/>
  <c r="H168" i="14"/>
  <c r="F169" i="14"/>
  <c r="H169" i="14"/>
  <c r="F170" i="14"/>
  <c r="H170" i="14"/>
  <c r="F171" i="14"/>
  <c r="H171" i="14"/>
  <c r="F172" i="14"/>
  <c r="H172" i="14"/>
  <c r="F173" i="14"/>
  <c r="H173" i="14"/>
  <c r="F174" i="14"/>
  <c r="H174" i="14"/>
  <c r="F175" i="14"/>
  <c r="H175" i="14"/>
  <c r="F176" i="14"/>
  <c r="H176" i="14"/>
  <c r="F177" i="14"/>
  <c r="H177" i="14"/>
  <c r="F178" i="14"/>
  <c r="H178" i="14"/>
  <c r="F179" i="14"/>
  <c r="H179" i="14"/>
  <c r="F180" i="14"/>
  <c r="H180" i="14"/>
  <c r="F181" i="14"/>
  <c r="H181" i="14"/>
  <c r="F182" i="14"/>
  <c r="H182" i="14"/>
  <c r="F183" i="14"/>
  <c r="F184" i="14"/>
  <c r="H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Q16" i="4"/>
  <c r="O55" i="8"/>
  <c r="P55" i="8" s="1"/>
  <c r="N55" i="8" s="1"/>
  <c r="L55" i="8" s="1"/>
  <c r="B55" i="8" s="1"/>
  <c r="S8" i="8"/>
  <c r="S9" i="8"/>
  <c r="N12" i="8"/>
  <c r="S2" i="8"/>
  <c r="S5" i="8"/>
  <c r="O12" i="8"/>
  <c r="L12" i="8"/>
  <c r="S10" i="8"/>
  <c r="O8" i="8"/>
  <c r="AA4" i="8"/>
  <c r="W2" i="8"/>
  <c r="N14" i="8"/>
  <c r="L14" i="8"/>
  <c r="S6" i="8"/>
  <c r="N15" i="8"/>
  <c r="O15" i="8"/>
  <c r="L15" i="8"/>
  <c r="N16" i="8"/>
  <c r="U7" i="8"/>
  <c r="O16" i="8"/>
  <c r="L16" i="8"/>
  <c r="Y10" i="8"/>
  <c r="N17" i="8"/>
  <c r="L17" i="8"/>
  <c r="U2" i="8"/>
  <c r="N18" i="8"/>
  <c r="U3" i="8"/>
  <c r="O18" i="8"/>
  <c r="P18" i="8"/>
  <c r="Q18" i="8"/>
  <c r="Y5" i="8"/>
  <c r="R18" i="8"/>
  <c r="L18" i="8"/>
  <c r="U4" i="8"/>
  <c r="N19" i="8"/>
  <c r="O19" i="8"/>
  <c r="P19" i="8"/>
  <c r="L19" i="8"/>
  <c r="U5" i="8"/>
  <c r="N20" i="8"/>
  <c r="O20" i="8"/>
  <c r="P20" i="8"/>
  <c r="Q20" i="8"/>
  <c r="R20" i="8"/>
  <c r="S20" i="8"/>
  <c r="L20" i="8"/>
  <c r="U6" i="8"/>
  <c r="N21" i="8"/>
  <c r="O21" i="8"/>
  <c r="P21" i="8"/>
  <c r="Q21" i="8"/>
  <c r="L21" i="8"/>
  <c r="N22" i="8"/>
  <c r="L22" i="8"/>
  <c r="W3" i="8"/>
  <c r="W4" i="8"/>
  <c r="N23" i="8"/>
  <c r="O23" i="8"/>
  <c r="P23" i="8"/>
  <c r="Q23" i="8"/>
  <c r="L23" i="8"/>
  <c r="W5" i="8"/>
  <c r="W6" i="8"/>
  <c r="N24" i="8"/>
  <c r="O24" i="8"/>
  <c r="P24" i="8"/>
  <c r="L24" i="8"/>
  <c r="N25" i="8"/>
  <c r="O25" i="8"/>
  <c r="P25" i="8"/>
  <c r="Q25" i="8"/>
  <c r="R25" i="8"/>
  <c r="S25" i="8"/>
  <c r="T25" i="8"/>
  <c r="U25" i="8"/>
  <c r="V25" i="8"/>
  <c r="W25" i="8"/>
  <c r="X25" i="8"/>
  <c r="Y25" i="8"/>
  <c r="Z25" i="8"/>
  <c r="AA25" i="8"/>
  <c r="AB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BE25" i="8"/>
  <c r="BF25" i="8"/>
  <c r="BG25" i="8"/>
  <c r="BH25" i="8"/>
  <c r="L25" i="8"/>
  <c r="U9" i="8"/>
  <c r="N26" i="8"/>
  <c r="W8" i="8"/>
  <c r="N27" i="8"/>
  <c r="S4" i="8"/>
  <c r="N28" i="8"/>
  <c r="L28" i="8"/>
  <c r="Y2" i="8"/>
  <c r="Y3" i="8"/>
  <c r="N29" i="8"/>
  <c r="O29" i="8"/>
  <c r="P29" i="8"/>
  <c r="L29" i="8"/>
  <c r="P8" i="8"/>
  <c r="Q8" i="8"/>
  <c r="O30" i="8"/>
  <c r="P30" i="8"/>
  <c r="Q30" i="8"/>
  <c r="Y6" i="8"/>
  <c r="N31" i="8"/>
  <c r="O31" i="8"/>
  <c r="P31" i="8"/>
  <c r="Q31" i="8"/>
  <c r="R31" i="8"/>
  <c r="S31" i="8"/>
  <c r="T31" i="8"/>
  <c r="U31" i="8"/>
  <c r="V31" i="8"/>
  <c r="W31" i="8"/>
  <c r="X31" i="8"/>
  <c r="Y31" i="8"/>
  <c r="Z31" i="8"/>
  <c r="AA31" i="8"/>
  <c r="AB31" i="8"/>
  <c r="AD31" i="8"/>
  <c r="AE31" i="8"/>
  <c r="AF31" i="8"/>
  <c r="AG31" i="8"/>
  <c r="AH31" i="8"/>
  <c r="AI31" i="8"/>
  <c r="BH31" i="8"/>
  <c r="BI31" i="8"/>
  <c r="AA2" i="8"/>
  <c r="AA3" i="8"/>
  <c r="N32" i="8"/>
  <c r="O32" i="8"/>
  <c r="P32" i="8"/>
  <c r="L32" i="8"/>
  <c r="AA10" i="8"/>
  <c r="N33" i="8"/>
  <c r="L33" i="8"/>
  <c r="L36" i="8"/>
  <c r="N38" i="8"/>
  <c r="L38" i="8"/>
  <c r="N39" i="8"/>
  <c r="O39" i="8"/>
  <c r="L39" i="8"/>
  <c r="N42" i="8"/>
  <c r="L42" i="8"/>
  <c r="AA8" i="8"/>
  <c r="N47" i="8"/>
  <c r="O47" i="8"/>
  <c r="L47" i="8"/>
  <c r="S3" i="8"/>
  <c r="AA9" i="8"/>
  <c r="N50" i="8"/>
  <c r="O50" i="8"/>
  <c r="P50" i="8"/>
  <c r="Q50" i="8"/>
  <c r="L50" i="8"/>
  <c r="Y9" i="8"/>
  <c r="N51" i="8"/>
  <c r="O51" i="8"/>
  <c r="P51" i="8"/>
  <c r="Q51" i="8"/>
  <c r="R51" i="8"/>
  <c r="L51" i="8"/>
  <c r="Y4" i="8"/>
  <c r="N52" i="8"/>
  <c r="O52" i="8"/>
  <c r="P52" i="8"/>
  <c r="Q52" i="8"/>
  <c r="L52" i="8"/>
  <c r="N53" i="8"/>
  <c r="L53" i="8"/>
  <c r="U54" i="8"/>
  <c r="V54" i="8"/>
  <c r="N54" i="8"/>
  <c r="P54" i="8"/>
  <c r="Q54" i="8"/>
  <c r="R54" i="8"/>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B14" i="14"/>
  <c r="B13" i="14"/>
  <c r="B10" i="14"/>
  <c r="B8" i="14"/>
  <c r="B7" i="14"/>
  <c r="B6" i="14"/>
  <c r="B5" i="14"/>
  <c r="B2"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150" i="14"/>
  <c r="G149" i="14"/>
  <c r="G62" i="14"/>
  <c r="Q19" i="20"/>
  <c r="R196" i="14" s="1"/>
  <c r="Q41" i="20"/>
  <c r="R217" i="14" s="1"/>
  <c r="Q23" i="20"/>
  <c r="R200" i="14" s="1"/>
  <c r="J31" i="20"/>
  <c r="K31" i="20"/>
  <c r="L31" i="20"/>
  <c r="M31" i="20"/>
  <c r="N31" i="20"/>
  <c r="O31" i="20"/>
  <c r="P31" i="20"/>
  <c r="J39" i="20"/>
  <c r="K215" i="14" s="1"/>
  <c r="K39" i="20"/>
  <c r="L215" i="14" s="1"/>
  <c r="L39" i="20"/>
  <c r="M215" i="14" s="1"/>
  <c r="M39" i="20"/>
  <c r="N215" i="14" s="1"/>
  <c r="N39" i="20"/>
  <c r="O215" i="14" s="1"/>
  <c r="O39" i="20"/>
  <c r="P215" i="14" s="1"/>
  <c r="P39" i="20"/>
  <c r="Q215" i="14" s="1"/>
  <c r="I39" i="20"/>
  <c r="J215" i="14" s="1"/>
  <c r="I20" i="20"/>
  <c r="I31" i="20"/>
  <c r="J20" i="20"/>
  <c r="K20" i="20"/>
  <c r="L20" i="20"/>
  <c r="M20" i="20"/>
  <c r="N20" i="20"/>
  <c r="O20" i="20"/>
  <c r="P197" i="14" s="1"/>
  <c r="P20" i="20"/>
  <c r="Q197" i="14" s="1"/>
  <c r="O12" i="20"/>
  <c r="P12" i="20"/>
  <c r="Q33" i="20"/>
  <c r="R209" i="14" s="1"/>
  <c r="Q34" i="20"/>
  <c r="R210" i="14" s="1"/>
  <c r="Q35" i="20"/>
  <c r="R211" i="14" s="1"/>
  <c r="Q36" i="20"/>
  <c r="R212" i="14" s="1"/>
  <c r="Q37" i="20"/>
  <c r="R213" i="14" s="1"/>
  <c r="Q38" i="20"/>
  <c r="R214" i="14" s="1"/>
  <c r="Q39" i="20"/>
  <c r="R215" i="14" s="1"/>
  <c r="Q40" i="20"/>
  <c r="R216" i="14" s="1"/>
  <c r="Q42" i="20"/>
  <c r="R218" i="14" s="1"/>
  <c r="Q43" i="20"/>
  <c r="R219" i="14" s="1"/>
  <c r="Q44" i="20"/>
  <c r="R220" i="14" s="1"/>
  <c r="Q14" i="20"/>
  <c r="R191" i="14" s="1"/>
  <c r="Q15" i="20"/>
  <c r="R192" i="14" s="1"/>
  <c r="Q16" i="20"/>
  <c r="R193" i="14" s="1"/>
  <c r="Q17" i="20"/>
  <c r="R194" i="14" s="1"/>
  <c r="Q18" i="20"/>
  <c r="R195" i="14" s="1"/>
  <c r="G116" i="14"/>
  <c r="A5" i="20"/>
  <c r="A5" i="5"/>
  <c r="A5" i="6"/>
  <c r="A5" i="10"/>
  <c r="A5" i="2"/>
  <c r="A5" i="1"/>
  <c r="D7" i="4"/>
  <c r="U8" i="8" s="1"/>
  <c r="N13" i="8" s="1"/>
  <c r="L13" i="8" s="1"/>
  <c r="B36" i="8"/>
  <c r="B38" i="8"/>
  <c r="A13" i="8"/>
  <c r="A14" i="8"/>
  <c r="A15" i="8"/>
  <c r="A16" i="8"/>
  <c r="A17" i="8"/>
  <c r="A18" i="8"/>
  <c r="A19" i="8"/>
  <c r="A20" i="8"/>
  <c r="A21" i="8"/>
  <c r="A22" i="8"/>
  <c r="A23" i="8"/>
  <c r="A24" i="8"/>
  <c r="A25" i="8"/>
  <c r="A26" i="8"/>
  <c r="A27" i="8"/>
  <c r="A28" i="8"/>
  <c r="A29" i="8"/>
  <c r="A30" i="8"/>
  <c r="A31" i="8"/>
  <c r="A32" i="8"/>
  <c r="A33" i="8"/>
  <c r="A35" i="8"/>
  <c r="A36" i="8"/>
  <c r="A37" i="8"/>
  <c r="A38" i="8"/>
  <c r="A39" i="8"/>
  <c r="A40" i="8"/>
  <c r="A41" i="8"/>
  <c r="A42" i="8"/>
  <c r="A43" i="8"/>
  <c r="P9" i="8"/>
  <c r="Q9" i="8"/>
  <c r="P10" i="8"/>
  <c r="Q10" i="8"/>
  <c r="Q32" i="20"/>
  <c r="R208" i="14" s="1"/>
  <c r="Q30" i="20"/>
  <c r="R206" i="14" s="1"/>
  <c r="Q29" i="20"/>
  <c r="R205" i="14" s="1"/>
  <c r="Q28" i="20"/>
  <c r="R204" i="14" s="1"/>
  <c r="Q10" i="20"/>
  <c r="R187" i="14" s="1"/>
  <c r="Q11" i="20"/>
  <c r="R188" i="14" s="1"/>
  <c r="Q13" i="20"/>
  <c r="R190" i="14" s="1"/>
  <c r="Q21" i="20"/>
  <c r="R198" i="14" s="1"/>
  <c r="Q22" i="20"/>
  <c r="R199" i="14" s="1"/>
  <c r="Q24" i="20"/>
  <c r="R201" i="14" s="1"/>
  <c r="Q25" i="20"/>
  <c r="R202" i="14" s="1"/>
  <c r="Q9" i="20"/>
  <c r="Q3" i="10"/>
  <c r="Q4" i="8" s="1"/>
  <c r="O46" i="8" s="1"/>
  <c r="Q2" i="10"/>
  <c r="P4" i="8" s="1"/>
  <c r="AA5" i="8"/>
  <c r="S7" i="8"/>
  <c r="AA6" i="8"/>
  <c r="Q60" i="4"/>
  <c r="Q39" i="4"/>
  <c r="Q9" i="4"/>
  <c r="Q10" i="4"/>
  <c r="Q11" i="4"/>
  <c r="Q12" i="4"/>
  <c r="Q13" i="4"/>
  <c r="Q14" i="4"/>
  <c r="Q21" i="4"/>
  <c r="Q23" i="4"/>
  <c r="Q27" i="4"/>
  <c r="Q29" i="4"/>
  <c r="Q31" i="4"/>
  <c r="Q35" i="4"/>
  <c r="Q37" i="4"/>
  <c r="Q42" i="4"/>
  <c r="Q46" i="4"/>
  <c r="Q50" i="4"/>
  <c r="Q52" i="4"/>
  <c r="Q54" i="4"/>
  <c r="Q56" i="4"/>
  <c r="Q58" i="4"/>
  <c r="D39" i="4"/>
  <c r="U10" i="8" s="1"/>
  <c r="O26" i="8" s="1"/>
  <c r="L26" i="8" s="1"/>
  <c r="D46" i="4"/>
  <c r="AA7" i="8"/>
  <c r="D42" i="4"/>
  <c r="W9" i="8" s="1"/>
  <c r="O27" i="8" s="1"/>
  <c r="L27" i="8" s="1"/>
  <c r="AJ31" i="8"/>
  <c r="AK31" i="8"/>
  <c r="AL31" i="8"/>
  <c r="AM31" i="8"/>
  <c r="AN31" i="8"/>
  <c r="AO31" i="8"/>
  <c r="AP31" i="8"/>
  <c r="AQ31" i="8"/>
  <c r="AR31" i="8"/>
  <c r="AS31" i="8"/>
  <c r="AT31" i="8"/>
  <c r="AU31" i="8"/>
  <c r="AV31" i="8"/>
  <c r="AW31" i="8"/>
  <c r="AX31" i="8"/>
  <c r="AY31" i="8"/>
  <c r="AZ31" i="8"/>
  <c r="BA31" i="8"/>
  <c r="BB31" i="8"/>
  <c r="BC31" i="8"/>
  <c r="BD31" i="8"/>
  <c r="BE31" i="8"/>
  <c r="BF31" i="8"/>
  <c r="BG31" i="8"/>
  <c r="Q1" i="10"/>
  <c r="L34" i="8"/>
  <c r="P43" i="8"/>
  <c r="N43" i="8"/>
  <c r="O43" i="8"/>
  <c r="L43" i="8"/>
  <c r="B43" i="8"/>
  <c r="B111" i="4"/>
  <c r="U46" i="8"/>
  <c r="J39" i="4"/>
  <c r="B15" i="14" s="1"/>
  <c r="B42" i="8"/>
  <c r="A45" i="8"/>
  <c r="A46" i="8"/>
  <c r="A47" i="8"/>
  <c r="A48" i="8"/>
  <c r="A49" i="8"/>
  <c r="A50" i="8"/>
  <c r="A51" i="8"/>
  <c r="A52" i="8"/>
  <c r="A53" i="8"/>
  <c r="A54" i="8"/>
  <c r="A55" i="8"/>
  <c r="A56" i="8"/>
  <c r="B47" i="8"/>
  <c r="B51" i="8"/>
  <c r="B53" i="8"/>
  <c r="B33" i="8"/>
  <c r="Y7" i="8"/>
  <c r="B29" i="8"/>
  <c r="B28" i="8"/>
  <c r="B24" i="8"/>
  <c r="B22" i="8"/>
  <c r="B21" i="8"/>
  <c r="B13" i="8"/>
  <c r="D44" i="4"/>
  <c r="B27" i="8"/>
  <c r="B14" i="8"/>
  <c r="D52" i="4"/>
  <c r="D50" i="4"/>
  <c r="G187" i="14"/>
  <c r="G186" i="14"/>
  <c r="D23" i="4"/>
  <c r="D17" i="4"/>
  <c r="D19" i="4"/>
  <c r="K39" i="4"/>
  <c r="G61" i="14"/>
  <c r="G3" i="14"/>
  <c r="A3" i="20"/>
  <c r="Q1" i="4"/>
  <c r="Q2" i="4"/>
  <c r="G117" i="14"/>
  <c r="N72" i="4"/>
  <c r="A3" i="5"/>
  <c r="A3" i="6"/>
  <c r="A3" i="10"/>
  <c r="A3" i="2"/>
  <c r="A3" i="1"/>
  <c r="G2" i="14"/>
  <c r="V46" i="8"/>
  <c r="M46" i="8"/>
  <c r="J7" i="8"/>
  <c r="B26" i="8"/>
  <c r="B15" i="8"/>
  <c r="Q20" i="20"/>
  <c r="R197" i="14" s="1"/>
  <c r="B32" i="8"/>
  <c r="B18" i="8"/>
  <c r="B16" i="8"/>
  <c r="B52" i="8"/>
  <c r="B19" i="8"/>
  <c r="B17" i="8"/>
  <c r="Q31" i="20"/>
  <c r="R207" i="14" s="1"/>
  <c r="B50" i="8"/>
  <c r="B39" i="8"/>
  <c r="B23" i="8"/>
  <c r="B20" i="8"/>
  <c r="B25" i="8"/>
  <c r="B12" i="8"/>
  <c r="O4" i="8" l="1"/>
  <c r="Q46" i="8" s="1"/>
  <c r="I54" i="4"/>
  <c r="B48" i="14" s="1"/>
  <c r="L31" i="8"/>
  <c r="B31" i="8" s="1"/>
  <c r="N46" i="8"/>
  <c r="P46" i="8"/>
  <c r="R186" i="14"/>
  <c r="I202" i="14"/>
  <c r="H202" i="14"/>
  <c r="I201" i="14"/>
  <c r="H201" i="14"/>
  <c r="I199" i="14"/>
  <c r="H199" i="14"/>
  <c r="I198" i="14"/>
  <c r="H198" i="14"/>
  <c r="I190" i="14"/>
  <c r="H190" i="14"/>
  <c r="I188" i="14"/>
  <c r="H188" i="14"/>
  <c r="I187" i="14"/>
  <c r="H187" i="14"/>
  <c r="I204" i="14"/>
  <c r="H204" i="14"/>
  <c r="I205" i="14"/>
  <c r="H205" i="14"/>
  <c r="I206" i="14"/>
  <c r="H206" i="14"/>
  <c r="I208" i="14"/>
  <c r="H208" i="14"/>
  <c r="I195" i="14"/>
  <c r="H195" i="14"/>
  <c r="I194" i="14"/>
  <c r="H194" i="14"/>
  <c r="I193" i="14"/>
  <c r="H193" i="14"/>
  <c r="I192" i="14"/>
  <c r="H192" i="14"/>
  <c r="I191" i="14"/>
  <c r="H191" i="14"/>
  <c r="I220" i="14"/>
  <c r="H220" i="14"/>
  <c r="I219" i="14"/>
  <c r="H219" i="14"/>
  <c r="I218" i="14"/>
  <c r="H218" i="14"/>
  <c r="I216" i="14"/>
  <c r="H216" i="14"/>
  <c r="I214" i="14"/>
  <c r="H214" i="14"/>
  <c r="I213" i="14"/>
  <c r="H213" i="14"/>
  <c r="I212" i="14"/>
  <c r="H212" i="14"/>
  <c r="I211" i="14"/>
  <c r="H211" i="14"/>
  <c r="I210" i="14"/>
  <c r="H210" i="14"/>
  <c r="I209" i="14"/>
  <c r="H209" i="14"/>
  <c r="Q189" i="14"/>
  <c r="P26" i="20"/>
  <c r="P189" i="14"/>
  <c r="Q12" i="20"/>
  <c r="O26" i="20"/>
  <c r="P203" i="14" s="1"/>
  <c r="O197" i="14"/>
  <c r="N26" i="20"/>
  <c r="O203" i="14" s="1"/>
  <c r="N197" i="14"/>
  <c r="M26" i="20"/>
  <c r="N203" i="14" s="1"/>
  <c r="M197" i="14"/>
  <c r="L26" i="20"/>
  <c r="M203" i="14" s="1"/>
  <c r="L197" i="14"/>
  <c r="K26" i="20"/>
  <c r="L203" i="14" s="1"/>
  <c r="K197" i="14"/>
  <c r="J26" i="20"/>
  <c r="K203" i="14" s="1"/>
  <c r="J207" i="14"/>
  <c r="I45" i="20"/>
  <c r="J197" i="14"/>
  <c r="I26" i="20"/>
  <c r="I215" i="14"/>
  <c r="H215" i="14"/>
  <c r="Q207" i="14"/>
  <c r="P45" i="20"/>
  <c r="Q221" i="14" s="1"/>
  <c r="P207" i="14"/>
  <c r="O45" i="20"/>
  <c r="P221" i="14" s="1"/>
  <c r="O207" i="14"/>
  <c r="N45" i="20"/>
  <c r="O221" i="14" s="1"/>
  <c r="N207" i="14"/>
  <c r="M45" i="20"/>
  <c r="N221" i="14" s="1"/>
  <c r="M207" i="14"/>
  <c r="L45" i="20"/>
  <c r="M221" i="14" s="1"/>
  <c r="L207" i="14"/>
  <c r="K45" i="20"/>
  <c r="L221" i="14" s="1"/>
  <c r="K207" i="14"/>
  <c r="J45" i="20"/>
  <c r="K221" i="14" s="1"/>
  <c r="I200" i="14"/>
  <c r="H200" i="14"/>
  <c r="I217" i="14"/>
  <c r="H217" i="14"/>
  <c r="I196" i="14"/>
  <c r="H196" i="14"/>
  <c r="J149" i="14"/>
  <c r="I43" i="5"/>
  <c r="K149" i="14"/>
  <c r="J43" i="5"/>
  <c r="J116" i="14"/>
  <c r="I39" i="6"/>
  <c r="K116" i="14"/>
  <c r="J39" i="6"/>
  <c r="J2" i="14"/>
  <c r="I33" i="1"/>
  <c r="K2" i="14"/>
  <c r="J33" i="1"/>
  <c r="J28" i="14"/>
  <c r="I52" i="1"/>
  <c r="J44" i="14" s="1"/>
  <c r="K28" i="14"/>
  <c r="J52" i="1"/>
  <c r="K44" i="14" s="1"/>
  <c r="J53" i="14"/>
  <c r="I65" i="1"/>
  <c r="J57" i="14" s="1"/>
  <c r="K53" i="14"/>
  <c r="J65" i="1"/>
  <c r="K57" i="14" s="1"/>
  <c r="J61" i="14"/>
  <c r="I18" i="2"/>
  <c r="K61" i="14"/>
  <c r="J18" i="2"/>
  <c r="J78" i="14"/>
  <c r="I33" i="2"/>
  <c r="J84" i="14" s="1"/>
  <c r="K78" i="14"/>
  <c r="J33" i="2"/>
  <c r="K84" i="14" s="1"/>
  <c r="J88" i="14"/>
  <c r="I47" i="14"/>
  <c r="I88" i="14" l="1"/>
  <c r="H88" i="14"/>
  <c r="I84" i="14"/>
  <c r="H84" i="14"/>
  <c r="I78" i="14"/>
  <c r="H78" i="14"/>
  <c r="K70" i="14"/>
  <c r="J34" i="2"/>
  <c r="J70" i="14"/>
  <c r="I34" i="2"/>
  <c r="N41" i="8"/>
  <c r="L41" i="8" s="1"/>
  <c r="B41" i="8" s="1"/>
  <c r="I61" i="14"/>
  <c r="H61" i="14"/>
  <c r="I57" i="14"/>
  <c r="H57" i="14"/>
  <c r="I53" i="14"/>
  <c r="H53" i="14"/>
  <c r="I44" i="14"/>
  <c r="H44" i="14"/>
  <c r="I28" i="14"/>
  <c r="H28" i="14"/>
  <c r="K26" i="14"/>
  <c r="J53" i="1"/>
  <c r="K45" i="14" s="1"/>
  <c r="O35" i="8"/>
  <c r="R35" i="8"/>
  <c r="S35" i="8"/>
  <c r="Q3" i="1"/>
  <c r="Q2" i="8" s="1"/>
  <c r="O45" i="8" s="1"/>
  <c r="J26" i="14"/>
  <c r="I53" i="1"/>
  <c r="J45" i="14" s="1"/>
  <c r="N35" i="8"/>
  <c r="Q2" i="1"/>
  <c r="P35" i="8"/>
  <c r="Q35" i="8"/>
  <c r="N40" i="8"/>
  <c r="L40" i="8" s="1"/>
  <c r="B40" i="8" s="1"/>
  <c r="I2" i="14"/>
  <c r="H2" i="14"/>
  <c r="K146" i="14"/>
  <c r="J41" i="6"/>
  <c r="K148" i="14" s="1"/>
  <c r="Q3" i="6"/>
  <c r="Q5" i="8" s="1"/>
  <c r="J146" i="14"/>
  <c r="I41" i="6"/>
  <c r="J148" i="14" s="1"/>
  <c r="Q1" i="6"/>
  <c r="Q2" i="6"/>
  <c r="P5" i="8" s="1"/>
  <c r="I116" i="14"/>
  <c r="H116" i="14"/>
  <c r="K183" i="14"/>
  <c r="J45" i="5"/>
  <c r="K185" i="14" s="1"/>
  <c r="Q3" i="5"/>
  <c r="Q6" i="8" s="1"/>
  <c r="J183" i="14"/>
  <c r="I45" i="5"/>
  <c r="J185" i="14" s="1"/>
  <c r="Q1" i="5"/>
  <c r="Q2" i="5"/>
  <c r="P6" i="8" s="1"/>
  <c r="I149" i="14"/>
  <c r="H149" i="14"/>
  <c r="J203" i="14"/>
  <c r="Q26" i="20"/>
  <c r="R203" i="14" s="1"/>
  <c r="I197" i="14"/>
  <c r="H197" i="14"/>
  <c r="J221" i="14"/>
  <c r="Q45" i="20"/>
  <c r="R221" i="14" s="1"/>
  <c r="T3" i="20"/>
  <c r="Q7" i="8" s="1"/>
  <c r="I207" i="14"/>
  <c r="H207" i="14"/>
  <c r="R189" i="14"/>
  <c r="I189" i="14" s="1"/>
  <c r="T2" i="20"/>
  <c r="H189" i="14"/>
  <c r="Q203" i="14"/>
  <c r="T5" i="20"/>
  <c r="I186" i="14"/>
  <c r="H186" i="14"/>
  <c r="L46" i="8"/>
  <c r="B46" i="8" s="1"/>
  <c r="T1" i="20" l="1"/>
  <c r="P7" i="8"/>
  <c r="I221" i="14"/>
  <c r="H221" i="14"/>
  <c r="I203" i="14"/>
  <c r="H203" i="14"/>
  <c r="O6" i="8"/>
  <c r="B50" i="14"/>
  <c r="I185" i="14"/>
  <c r="H185" i="14"/>
  <c r="I183" i="14"/>
  <c r="H183" i="14"/>
  <c r="O5" i="8"/>
  <c r="B49" i="14"/>
  <c r="I58" i="4"/>
  <c r="I148" i="14"/>
  <c r="H148" i="14"/>
  <c r="I146" i="14"/>
  <c r="H146" i="14"/>
  <c r="P2" i="8"/>
  <c r="Q1" i="1"/>
  <c r="L35" i="8"/>
  <c r="B35" i="8" s="1"/>
  <c r="I45" i="14"/>
  <c r="H45" i="14"/>
  <c r="I26" i="14"/>
  <c r="H26" i="14"/>
  <c r="J85" i="14"/>
  <c r="I36" i="2"/>
  <c r="I70" i="14"/>
  <c r="H70" i="14"/>
  <c r="K85" i="14"/>
  <c r="J36" i="2"/>
  <c r="K87" i="14" l="1"/>
  <c r="J56" i="2"/>
  <c r="K106" i="14" s="1"/>
  <c r="O37" i="8"/>
  <c r="Q3" i="2"/>
  <c r="Q3" i="8" s="1"/>
  <c r="Q45" i="8" s="1"/>
  <c r="J87" i="14"/>
  <c r="I56" i="2"/>
  <c r="N37" i="8"/>
  <c r="L37" i="8" s="1"/>
  <c r="B37" i="8" s="1"/>
  <c r="Q2" i="2"/>
  <c r="I85" i="14"/>
  <c r="H85" i="14"/>
  <c r="B46" i="14"/>
  <c r="O2" i="8"/>
  <c r="N30" i="8"/>
  <c r="L30" i="8" s="1"/>
  <c r="N45" i="8"/>
  <c r="N48" i="8"/>
  <c r="O48" i="8"/>
  <c r="P48" i="8"/>
  <c r="Q48" i="8"/>
  <c r="R48" i="8"/>
  <c r="S48" i="8"/>
  <c r="O7" i="8"/>
  <c r="I60" i="4"/>
  <c r="B51" i="14" s="1"/>
  <c r="N49" i="8" l="1"/>
  <c r="O49" i="8"/>
  <c r="P49" i="8"/>
  <c r="Q49" i="8"/>
  <c r="L48" i="8"/>
  <c r="B48" i="8" s="1"/>
  <c r="B30" i="8"/>
  <c r="P3" i="8"/>
  <c r="Q1" i="2"/>
  <c r="J106" i="14"/>
  <c r="Q7" i="2"/>
  <c r="I87" i="14"/>
  <c r="H87" i="14"/>
  <c r="I106" i="14" l="1"/>
  <c r="N56" i="8" s="1"/>
  <c r="L56" i="8" s="1"/>
  <c r="B56" i="8" s="1"/>
  <c r="H106" i="14"/>
  <c r="B59" i="14" s="1"/>
  <c r="A15" i="4" s="1"/>
  <c r="B47" i="14"/>
  <c r="O3" i="8"/>
  <c r="I52" i="4"/>
  <c r="P45" i="8"/>
  <c r="L45" i="8" s="1"/>
  <c r="O54" i="8"/>
  <c r="L54" i="8" s="1"/>
  <c r="B54" i="8" s="1"/>
  <c r="L49" i="8"/>
  <c r="B49" i="8" s="1"/>
  <c r="B45" i="8" l="1"/>
  <c r="J4" i="8"/>
  <c r="B58" i="14" l="1"/>
  <c r="A7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E12" authorId="0" shapeId="0" xr:uid="{00000000-0006-0000-0200-000001000000}">
      <text>
        <r>
          <rPr>
            <b/>
            <sz val="8"/>
            <color indexed="81"/>
            <rFont val="Tahoma"/>
            <charset val="238"/>
          </rPr>
          <t>Naputak:</t>
        </r>
        <r>
          <rPr>
            <sz val="8"/>
            <color indexed="81"/>
            <rFont val="Tahoma"/>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0" shapeId="0" xr:uid="{00000000-0006-0000-0200-000002000000}">
      <text>
        <r>
          <rPr>
            <b/>
            <sz val="8"/>
            <color indexed="81"/>
            <rFont val="Tahoma"/>
            <charset val="238"/>
          </rPr>
          <t>Uputa:</t>
        </r>
        <r>
          <rPr>
            <sz val="8"/>
            <color indexed="81"/>
            <rFont val="Tahoma"/>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0" shapeId="0" xr:uid="{00000000-0006-0000-0200-000003000000}">
      <text>
        <r>
          <rPr>
            <b/>
            <sz val="8"/>
            <color indexed="81"/>
            <rFont val="Tahoma"/>
            <charset val="238"/>
          </rPr>
          <t>Napomena:</t>
        </r>
        <r>
          <rPr>
            <sz val="8"/>
            <color indexed="81"/>
            <rFont val="Tahoma"/>
            <charset val="238"/>
          </rPr>
          <t xml:space="preserve">
Ako je izvještaj revidiran, i predaja je u svrhu javne objave upisuje se DA u obvezu revizije, te OIB revizorskog društva ili samostalnog revizora koji je revidirao financijski izvještaj.</t>
        </r>
      </text>
    </comment>
    <comment ref="A23" authorId="0" shapeId="0" xr:uid="{00000000-0006-0000-0200-000004000000}">
      <text>
        <r>
          <rPr>
            <b/>
            <sz val="8"/>
            <color indexed="81"/>
            <rFont val="Tahoma"/>
            <charset val="238"/>
          </rPr>
          <t>Naputak:</t>
        </r>
        <r>
          <rPr>
            <sz val="8"/>
            <color indexed="81"/>
            <rFont val="Tahoma"/>
            <charset val="238"/>
          </rPr>
          <t xml:space="preserve">
Obveznost predaje nefinancijskog izvješća biti će u primjeni kod predaje za 2017. godinu i kasnije</t>
        </r>
      </text>
    </comment>
    <comment ref="F27" authorId="0" shapeId="0" xr:uid="{00000000-0006-0000-0200-000005000000}">
      <text>
        <r>
          <rPr>
            <b/>
            <sz val="8"/>
            <color indexed="81"/>
            <rFont val="Tahoma"/>
            <charset val="238"/>
          </rPr>
          <t>Naputak:</t>
        </r>
        <r>
          <rPr>
            <sz val="8"/>
            <color indexed="81"/>
            <rFont val="Tahoma"/>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0" shapeId="0" xr:uid="{00000000-0006-0000-0200-000006000000}">
      <text>
        <r>
          <rPr>
            <b/>
            <sz val="8"/>
            <color indexed="81"/>
            <rFont val="Tahoma"/>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0" shapeId="0" xr:uid="{00000000-0006-0000-0200-000007000000}">
      <text>
        <r>
          <rPr>
            <b/>
            <sz val="8"/>
            <color indexed="81"/>
            <rFont val="Tahoma"/>
            <charset val="238"/>
          </rPr>
          <t>Uputa:</t>
        </r>
        <r>
          <rPr>
            <sz val="8"/>
            <color indexed="81"/>
            <rFont val="Tahoma"/>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0" shapeId="0" xr:uid="{00000000-0006-0000-0200-000008000000}">
      <text>
        <r>
          <rPr>
            <b/>
            <sz val="8"/>
            <color indexed="81"/>
            <rFont val="Tahoma"/>
            <charset val="238"/>
          </rPr>
          <t>Uputa:</t>
        </r>
        <r>
          <rPr>
            <sz val="8"/>
            <color indexed="81"/>
            <rFont val="Tahoma"/>
            <charset val="238"/>
          </rPr>
          <t xml:space="preserve">
Upisuje se adresa službenih internet stranica obveznika, bez http:// - samo www.stranica.hr).</t>
        </r>
      </text>
    </comment>
    <comment ref="I50" authorId="0" shapeId="0" xr:uid="{00000000-0006-0000-0200-000009000000}">
      <text>
        <r>
          <rPr>
            <b/>
            <sz val="8"/>
            <color indexed="81"/>
            <rFont val="Tahoma"/>
            <charset val="238"/>
          </rPr>
          <t>Uputa:</t>
        </r>
        <r>
          <rPr>
            <sz val="8"/>
            <color indexed="81"/>
            <rFont val="Tahoma"/>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0" shapeId="0" xr:uid="{00000000-0006-0000-0200-00000A000000}">
      <text>
        <r>
          <rPr>
            <b/>
            <sz val="8"/>
            <color indexed="81"/>
            <rFont val="Tahoma"/>
            <charset val="238"/>
          </rPr>
          <t>Uputa:</t>
        </r>
        <r>
          <rPr>
            <sz val="8"/>
            <color indexed="81"/>
            <rFont val="Tahoma"/>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charset val="238"/>
          </rPr>
          <t>.  Zbroj oba postotka mora biti 100. Ako je porijeklo kaptala samo domaće ili samo strano, u pripadajuću kućicu upisuje se 100 a u drugu 0.</t>
        </r>
      </text>
    </comment>
    <comment ref="A64" authorId="0" shapeId="0" xr:uid="{00000000-0006-0000-0200-00000B000000}">
      <text>
        <r>
          <rPr>
            <b/>
            <sz val="8"/>
            <color indexed="81"/>
            <rFont val="Tahoma"/>
            <charset val="238"/>
          </rPr>
          <t>Uputa:</t>
        </r>
        <r>
          <rPr>
            <sz val="8"/>
            <color indexed="81"/>
            <rFont val="Tahoma"/>
            <charset val="238"/>
          </rPr>
          <t xml:space="preserve">
Upisuje se matični broj knjigovodstvenog servisa dodijeljen od Državnog zavoda za statistiku te naziv knjigovodstvenog servisa koji je sastavio izvještaj. Ako je izvještaj sastavljen unutar same tvrtke obveznika, ova polja ostavljaju se praznima).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00000000-0006-0000-0300-000001000000}">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00000000-0006-0000-0400-000001000000}">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H6" authorId="0" shapeId="0" xr:uid="{00000000-0006-0000-0500-000001000000}">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00000000-0006-0000-0600-000001000000}">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sharedStrings.xml><?xml version="1.0" encoding="utf-8"?>
<sst xmlns="http://schemas.openxmlformats.org/spreadsheetml/2006/main" count="3265" uniqueCount="2661">
  <si>
    <t>OPIS</t>
  </si>
  <si>
    <t>VRIJEDNOST</t>
  </si>
  <si>
    <t>OBRAZAC</t>
  </si>
  <si>
    <t>SIFRA</t>
  </si>
  <si>
    <t>AOP</t>
  </si>
  <si>
    <t>BILJESKA</t>
  </si>
  <si>
    <t>KNTBR</t>
  </si>
  <si>
    <t>DECIMALE</t>
  </si>
  <si>
    <t>IZNOS01</t>
  </si>
  <si>
    <t>IZNOS02</t>
  </si>
  <si>
    <t>IZNOS03</t>
  </si>
  <si>
    <t>IZNOS04</t>
  </si>
  <si>
    <t>IZNOS05</t>
  </si>
  <si>
    <t>IZNOS06</t>
  </si>
  <si>
    <t>IZNOS07</t>
  </si>
  <si>
    <t>IZNOS08</t>
  </si>
  <si>
    <t>IZNOS09</t>
  </si>
  <si>
    <t>IZNOS10</t>
  </si>
  <si>
    <t>IZNOS11</t>
  </si>
  <si>
    <t>IZNOS12</t>
  </si>
  <si>
    <t>IZNOS13</t>
  </si>
  <si>
    <t>IZNOS14</t>
  </si>
  <si>
    <t>IZNOS15</t>
  </si>
  <si>
    <t>IZNOS16</t>
  </si>
  <si>
    <t>IZNOS17</t>
  </si>
  <si>
    <t>IZNOS18</t>
  </si>
  <si>
    <t>IZNOS19</t>
  </si>
  <si>
    <t>IZNOS20</t>
  </si>
  <si>
    <t>IZNOS21</t>
  </si>
  <si>
    <t>IZNOS22</t>
  </si>
  <si>
    <t>GOD_OBR</t>
  </si>
  <si>
    <t>BIL</t>
  </si>
  <si>
    <t>VP</t>
  </si>
  <si>
    <t>617</t>
  </si>
  <si>
    <t>VER</t>
  </si>
  <si>
    <t>4020</t>
  </si>
  <si>
    <t>VRSTA_IZV</t>
  </si>
  <si>
    <t>MB</t>
  </si>
  <si>
    <t>MBS</t>
  </si>
  <si>
    <t>OIB</t>
  </si>
  <si>
    <t>NAZIV</t>
  </si>
  <si>
    <t>POSTA</t>
  </si>
  <si>
    <t>MJESTO</t>
  </si>
  <si>
    <t>ADRESA</t>
  </si>
  <si>
    <t>E_MAIL</t>
  </si>
  <si>
    <t>WEB</t>
  </si>
  <si>
    <t>ZUPANIJA</t>
  </si>
  <si>
    <t>OPCINA</t>
  </si>
  <si>
    <t>DJELAT</t>
  </si>
  <si>
    <t>KONS</t>
  </si>
  <si>
    <t>REVIZIJA</t>
  </si>
  <si>
    <t>SVRHA</t>
  </si>
  <si>
    <t>VELICINA</t>
  </si>
  <si>
    <t>VLAST</t>
  </si>
  <si>
    <t>KAPITALD</t>
  </si>
  <si>
    <t>KAPITALS</t>
  </si>
  <si>
    <t>ZAPSTANJEP</t>
  </si>
  <si>
    <t>ZAPSTANJET</t>
  </si>
  <si>
    <t>ZAPPROST</t>
  </si>
  <si>
    <t>ZAPPROSD</t>
  </si>
  <si>
    <t>MJPOSLP</t>
  </si>
  <si>
    <t>MJPOSLT</t>
  </si>
  <si>
    <t>PRIPMB1</t>
  </si>
  <si>
    <t>0</t>
  </si>
  <si>
    <t>PRIPMB2</t>
  </si>
  <si>
    <t>PRIPMB3</t>
  </si>
  <si>
    <t>STATMB1</t>
  </si>
  <si>
    <t>STATMB2</t>
  </si>
  <si>
    <t>STATMB3</t>
  </si>
  <si>
    <t>MBSERVIS</t>
  </si>
  <si>
    <t>NAZIVSERVIS</t>
  </si>
  <si>
    <t>KONTAKT_OS</t>
  </si>
  <si>
    <t>TEL</t>
  </si>
  <si>
    <t>FAX</t>
  </si>
  <si>
    <t/>
  </si>
  <si>
    <t>KONTAKT_EMAIL</t>
  </si>
  <si>
    <t>OVL_OSOBA</t>
  </si>
  <si>
    <t>DATUMOD</t>
  </si>
  <si>
    <t>DATUMDO</t>
  </si>
  <si>
    <t>IMABIL</t>
  </si>
  <si>
    <t>IMARDG</t>
  </si>
  <si>
    <t>IMADOD</t>
  </si>
  <si>
    <t>IMANTI</t>
  </si>
  <si>
    <t>IMANTD</t>
  </si>
  <si>
    <t>IMAPK</t>
  </si>
  <si>
    <t>IMALM</t>
  </si>
  <si>
    <t>NE</t>
  </si>
  <si>
    <t>IMABILJ</t>
  </si>
  <si>
    <t>IMAREVIZ</t>
  </si>
  <si>
    <t>IMAGODIZV</t>
  </si>
  <si>
    <t>IMAODLRASP</t>
  </si>
  <si>
    <t>IMAODLUTVR</t>
  </si>
  <si>
    <t>KONTROLIRAN</t>
  </si>
  <si>
    <t>KTR_BROJ</t>
  </si>
  <si>
    <t>SIF_OBL_ORG</t>
  </si>
  <si>
    <t>KTR_LISTAMB</t>
  </si>
  <si>
    <t>RDG</t>
  </si>
  <si>
    <t>IMANSTD</t>
  </si>
  <si>
    <t>REV_OIB</t>
  </si>
  <si>
    <t>PRIHOD_NULA</t>
  </si>
  <si>
    <t>STANDARDI</t>
  </si>
  <si>
    <t>VRSTA_NEFIN</t>
  </si>
  <si>
    <t>TEL_OBV</t>
  </si>
  <si>
    <t>AUTONOMNOST</t>
  </si>
  <si>
    <t>MB_MATICE</t>
  </si>
  <si>
    <t>DRZAVA_MATICE</t>
  </si>
  <si>
    <t>OZNAKA_VALUTE</t>
  </si>
  <si>
    <t>PRIHOD_NULA_PR</t>
  </si>
  <si>
    <t>DA</t>
  </si>
  <si>
    <t>OZNAKA_BRISANJA</t>
  </si>
  <si>
    <t>DOD</t>
  </si>
  <si>
    <t>NTI</t>
  </si>
  <si>
    <t>NTD</t>
  </si>
  <si>
    <t>PK</t>
  </si>
  <si>
    <t>Navigacija</t>
  </si>
  <si>
    <t>Naslovna</t>
  </si>
  <si>
    <t>RefStr</t>
  </si>
  <si>
    <t>Bilanca</t>
  </si>
  <si>
    <t>Dodatni</t>
  </si>
  <si>
    <t>NT_I</t>
  </si>
  <si>
    <t>NT_D</t>
  </si>
  <si>
    <t>Kont</t>
  </si>
  <si>
    <t>Od 2016. godine Alternativni investicijski fondovi popunjavaju obrasce sukladno Pravilniku o strukturi i sadržaju godišnjih i polugodišnjih izvještaja i drugih izvještaja alternativnog investicijskog fonda (NN 105/17).
Upute o načinu popunjavanja pojedinih AOP pozicija, upute za rad s Excel datotekom, šifarnici i sve ostalo vezano uz izvještaje i način popunjavanja dano je u posebnom dokumentu koji se može preuzeti sa stranica Fine.</t>
  </si>
  <si>
    <t>Link na stranicu obrasca i uputa:</t>
  </si>
  <si>
    <t>https://www.fina.hr/godisnji-financijski-izvjestaji/obrasci</t>
  </si>
  <si>
    <t>U nastavku će biti navedene sve ispravke i promjene u odnosu na Inicijalnu verziju Excel datoteke 4.0.0.</t>
  </si>
  <si>
    <t>Verzija</t>
  </si>
  <si>
    <t>Promjene po verzijama</t>
  </si>
  <si>
    <t>4.0.0.</t>
  </si>
  <si>
    <t>Prva verzija obrasca za 2018. godinu</t>
  </si>
  <si>
    <t>4.0.1.</t>
  </si>
  <si>
    <t>Ispravljena automatska suma na AOP oznaci 083 koja je zbrajala više AOP oznaka nego je trebala.</t>
  </si>
  <si>
    <t>4.0.2.</t>
  </si>
  <si>
    <t>Omogućeno popunajvanje i u EUR-ima i centima, ne više samo u kunama.</t>
  </si>
  <si>
    <t>Ovaj dio ne spada u standardni obrazac GFI-POD izvještaja, ali ispunjavanjem ovih podataka osigurat ćete da Vas Excel datoteka preko kontrola upozori koju popratnu (nestandardnu) dokumentaciju ste dužni predati prilikom predaje GFI-POD izvještaja. Isto tako, upisom datuma razdoblja za koje predajete izvještaj datum će se automatski prenijeti na sve obrasce i omogućiti provjeru vrste izvještaja i broja mjeseci poslovanja. Odaberete li krivu vrstu poslovnog subjekta, moguće je da obrazac, iako je točan u Excelu bude netočan nakon predaje na šalteru ili putem web-a te da nestandardna dokumentacija bude nepotpuna.</t>
  </si>
  <si>
    <t>Razdoblje izvještavanja:</t>
  </si>
  <si>
    <t>do</t>
  </si>
  <si>
    <t>(završni dan razdoblja je ujedno i datum stanja u Bilanci)</t>
  </si>
  <si>
    <t>Poslovna aktivnost u razdoblju izvještavanja:</t>
  </si>
  <si>
    <t>Vrsta poslovnog subjekta:</t>
  </si>
  <si>
    <t>DatOd</t>
  </si>
  <si>
    <t>Referentna stranica</t>
  </si>
  <si>
    <t>Vrsta posla: 617</t>
  </si>
  <si>
    <t>DatDo</t>
  </si>
  <si>
    <t>GODIŠNJI FINANCIJSKI IZVJEŠTAJ 
ZATVORENOG ALTERNATIVNOG INVESTICIJSKOG FONDA</t>
  </si>
  <si>
    <t>VI</t>
  </si>
  <si>
    <t>za</t>
  </si>
  <si>
    <t xml:space="preserve"> . godinu</t>
  </si>
  <si>
    <t>Kontrolni broj</t>
  </si>
  <si>
    <r>
      <t xml:space="preserve">Evidencijski broj </t>
    </r>
    <r>
      <rPr>
        <sz val="7"/>
        <rFont val="Arial"/>
        <family val="2"/>
        <charset val="238"/>
      </rPr>
      <t>(popunjava Registar)</t>
    </r>
  </si>
  <si>
    <t>Naz</t>
  </si>
  <si>
    <t>Posta</t>
  </si>
  <si>
    <t>Vrsta izvještaja:</t>
  </si>
  <si>
    <t>MJ</t>
  </si>
  <si>
    <t>Šifra svrhe predaje:</t>
  </si>
  <si>
    <t>Primjena računovodstvenih standarda:</t>
  </si>
  <si>
    <t>HSFI</t>
  </si>
  <si>
    <t>ADR</t>
  </si>
  <si>
    <t>Izvještaj je konsolidiran:</t>
  </si>
  <si>
    <t>(DA/NE)</t>
  </si>
  <si>
    <t>Izvještaj je revidiran (DA/NE):</t>
  </si>
  <si>
    <t>OIB revizora:</t>
  </si>
  <si>
    <t>OPC</t>
  </si>
  <si>
    <t>Obveznost predaje nefinancijskog izvješća:</t>
  </si>
  <si>
    <t>NKD</t>
  </si>
  <si>
    <t>OIB subjekta:</t>
  </si>
  <si>
    <t>Matični broj (MB):</t>
  </si>
  <si>
    <t>Matični broj subjekta (MBS):</t>
  </si>
  <si>
    <t>Kons</t>
  </si>
  <si>
    <t>(dodijeljen od DZS-a)</t>
  </si>
  <si>
    <t>(dodijeljen od nadležnog Trgovačkog suda)</t>
  </si>
  <si>
    <t>Naziv obveznika:</t>
  </si>
  <si>
    <t>Reviz</t>
  </si>
  <si>
    <t>Poštanski broj:</t>
  </si>
  <si>
    <t>Naziv naselja:</t>
  </si>
  <si>
    <t>Svrha</t>
  </si>
  <si>
    <t>Ulica i kućni broj:</t>
  </si>
  <si>
    <t>VEL</t>
  </si>
  <si>
    <t>Adresa e-pošte obveznika:</t>
  </si>
  <si>
    <t>Telefon:</t>
  </si>
  <si>
    <t>Internet adresa:</t>
  </si>
  <si>
    <t>POR_KAP</t>
  </si>
  <si>
    <t>Šifra grada/općine:</t>
  </si>
  <si>
    <t>Županija:</t>
  </si>
  <si>
    <t>ZAP</t>
  </si>
  <si>
    <t>Šifra NKD-a:</t>
  </si>
  <si>
    <t>MJESECI</t>
  </si>
  <si>
    <t>Status autonomnosti:</t>
  </si>
  <si>
    <t>Zemlja sjedišta nadređenog matičnog društva:</t>
  </si>
  <si>
    <t>Matični broj nadređenog matičnog društva:</t>
  </si>
  <si>
    <t>OIB_REV</t>
  </si>
  <si>
    <t>Oznaka veličine:</t>
  </si>
  <si>
    <t>Popis dokumentacije</t>
  </si>
  <si>
    <t>POSL_AKT</t>
  </si>
  <si>
    <t>Oznaka vlasništva:</t>
  </si>
  <si>
    <t>Bilanca i Račun dobiti i gubitka</t>
  </si>
  <si>
    <t>STAND</t>
  </si>
  <si>
    <t>Porijeklo kapitala (%):</t>
  </si>
  <si>
    <t>(domaći)</t>
  </si>
  <si>
    <t>(strani)</t>
  </si>
  <si>
    <t>Dodatni podaci</t>
  </si>
  <si>
    <t>AUTONOM</t>
  </si>
  <si>
    <t>Prosjek broja zaposlenih krajem razdoblja:</t>
  </si>
  <si>
    <t>(prethodne godina)</t>
  </si>
  <si>
    <t>(tekuće godina)</t>
  </si>
  <si>
    <t>Bilješke uz financijske izvještaje</t>
  </si>
  <si>
    <t>ZEMLJA</t>
  </si>
  <si>
    <t>Broj zaposlenih prema satima rada:</t>
  </si>
  <si>
    <t>Izvještaj o novčanim tokovima</t>
  </si>
  <si>
    <t>MB_NADR</t>
  </si>
  <si>
    <t>Broj mjeseci poslovanja:</t>
  </si>
  <si>
    <t>Izvještaj o promjenama kapitala</t>
  </si>
  <si>
    <t>NEFIN</t>
  </si>
  <si>
    <t>Knjigovodstveni servis:</t>
  </si>
  <si>
    <t>Revizorsko izvješće</t>
  </si>
  <si>
    <t>Matični broj:</t>
  </si>
  <si>
    <t>(matični broj servisa dodijeljen od DZS-a)</t>
  </si>
  <si>
    <t>Godišnje izvješće</t>
  </si>
  <si>
    <t>Naziv</t>
  </si>
  <si>
    <t>Odluka o prijedlogu raspodjele dobiti ili pokriću gubitka</t>
  </si>
  <si>
    <t>Osoba za kontaktiranje:</t>
  </si>
  <si>
    <t>Odluka o utvrđivanju godišnjeg financijskog izvještaja</t>
  </si>
  <si>
    <t>(unosi se ime i prezime osobe za kontakt)</t>
  </si>
  <si>
    <t>Telefon za kontaktiranje:</t>
  </si>
  <si>
    <t>(unosi se broj telefona/mobitela osobe za kontaktiranje)</t>
  </si>
  <si>
    <t>Adresa e-pošte:</t>
  </si>
  <si>
    <t>(unosi se adresa e-pošte osobe za kontaktiranje)</t>
  </si>
  <si>
    <t>(Prezime i ime ovlaštene osobe)</t>
  </si>
  <si>
    <t>(potpis ovlaštene osobe)</t>
  </si>
  <si>
    <t>M.P.</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</si>
  <si>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</si>
  <si>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</si>
  <si>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</si>
  <si>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</si>
  <si>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</si>
  <si>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</si>
  <si>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</si>
  <si>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</si>
  <si>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Javno trgovačko društvo</t>
  </si>
  <si>
    <t>Komanditno društvo</t>
  </si>
  <si>
    <t>Gospodarsko interesno udruženje</t>
  </si>
  <si>
    <t>Dioničko društvo</t>
  </si>
  <si>
    <t>Društvo s ograničenom odgovornošću</t>
  </si>
  <si>
    <t>Jednostavno društvo s ograničenom odgovornošću</t>
  </si>
  <si>
    <t>Trgovac pojedinac</t>
  </si>
  <si>
    <t>Ustanova</t>
  </si>
  <si>
    <t>Zajednica ustanova</t>
  </si>
  <si>
    <t>Zadruga</t>
  </si>
  <si>
    <t>Druga osoba za koje je upis propisan zakonom</t>
  </si>
  <si>
    <t>Inozemni osnivač</t>
  </si>
  <si>
    <t>Obrtnik, obveznik poreza na dobit</t>
  </si>
  <si>
    <t>Slobodno zanimanje</t>
  </si>
  <si>
    <t>Obiteljsko gospodarstvo</t>
  </si>
  <si>
    <t>Privatna osoba, obveznik poreza na dobit</t>
  </si>
  <si>
    <t>Ostali nespomenuti obveznici poreza na dobit</t>
  </si>
  <si>
    <t>Poduzetnik je obveznik predaje nefinancijskog izvješća - predaje ga kao zaseban dokument</t>
  </si>
  <si>
    <t>Poduzetnik je obveznik predaje nefinancijskog izvješća - predaje ga u sklopu Izvješća poslovodstva</t>
  </si>
  <si>
    <t>Poduzetnik je obveznik predaje nefinancijskog izvješća - predaje ga kao prilog izvješću poslovodstva</t>
  </si>
  <si>
    <t>Predaja samo u statističke svrhe</t>
  </si>
  <si>
    <t>Predaja samo u svrhu javne objave</t>
  </si>
  <si>
    <t>Predaja i za statističke svrhe i za javnu objavu</t>
  </si>
  <si>
    <t>Mikro poduzetnik</t>
  </si>
  <si>
    <t>Mali poduzetnik</t>
  </si>
  <si>
    <t>Srednji poduzetnik</t>
  </si>
  <si>
    <t>Veliki poduzetnik (definirano Zakonom)</t>
  </si>
  <si>
    <t xml:space="preserve">Autonomno društvo, nije bilo član grupe u izvještajnom razdoblju </t>
  </si>
  <si>
    <t xml:space="preserve">Ovisno društvo (nema kontrolu nad drugim društvima), sa maticom u RH </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</si>
  <si>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</si>
  <si>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</si>
  <si>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</si>
  <si>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</si>
  <si>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Autonomno društvo, bilo je u sastavu grupe u dijelu izvještajnog razdoblja</t>
  </si>
  <si>
    <t>Ostali obveznici poreza na dobit</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</si>
  <si>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</si>
  <si>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</si>
  <si>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Izvještaj kojeg ispunjava obveznik u stečaju.</t>
  </si>
  <si>
    <t>Izvještaj kojeg sastavlja obveznik za razdoblje od početka godine do dana koji prethodi danu otvaranja stečajnog postupka.</t>
  </si>
  <si>
    <t>Izvještaj kojeg ispunjava obveznik u likvidaciji.</t>
  </si>
  <si>
    <t>Izvještaj kojeg sastavlja obveznik za razdoblje od početka godine do dana koji prethodi danu otvaranja likvidacijskog postupka.</t>
  </si>
  <si>
    <t>Izvještaj kojeg sastavlja  obveznika koji zbog statusnih promjena gubi pravnu osobnost.</t>
  </si>
  <si>
    <t>Izvještaj kojeg sastavlja obveznik u godini kada mijenja datum početka i kraja poslovne godine, a za razdoblje od kraja stare poslovne godine do datuma koji prethodi početku nove poslovne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</si>
  <si>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</si>
  <si>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</si>
  <si>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</si>
  <si>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</si>
  <si>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</si>
  <si>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</si>
  <si>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</si>
  <si>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</si>
  <si>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</si>
  <si>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</si>
  <si>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</si>
  <si>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</si>
  <si>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</si>
  <si>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</si>
  <si>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</si>
  <si>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</si>
  <si>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</si>
  <si>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</si>
  <si>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</si>
  <si>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</si>
  <si>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</si>
  <si>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</si>
  <si>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</si>
  <si>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</si>
  <si>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</si>
  <si>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</si>
  <si>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</si>
  <si>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</si>
  <si>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</si>
  <si>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</si>
  <si>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</si>
  <si>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</si>
  <si>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</si>
  <si>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</si>
  <si>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</si>
  <si>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</si>
  <si>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</si>
  <si>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</si>
  <si>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</si>
  <si>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</si>
  <si>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</si>
  <si>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</si>
  <si>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</si>
  <si>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</si>
  <si>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</si>
  <si>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</si>
  <si>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</si>
  <si>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</si>
  <si>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</si>
  <si>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</si>
  <si>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</si>
  <si>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</si>
  <si>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</si>
  <si>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</si>
  <si>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</si>
  <si>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</si>
  <si>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</si>
  <si>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</si>
  <si>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</si>
  <si>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</si>
  <si>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</si>
  <si>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</si>
  <si>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</si>
  <si>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</si>
  <si>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</si>
  <si>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</si>
  <si>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</si>
  <si>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</si>
  <si>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</si>
  <si>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</si>
  <si>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</si>
  <si>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</si>
  <si>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</si>
  <si>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</si>
  <si>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</si>
  <si>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</si>
  <si>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</si>
  <si>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</si>
  <si>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</si>
  <si>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</si>
  <si>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</si>
  <si>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</si>
  <si>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</si>
  <si>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</si>
  <si>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</si>
  <si>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</si>
  <si>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</si>
  <si>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</si>
  <si>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</si>
  <si>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</si>
  <si>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</si>
  <si>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</si>
  <si>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</si>
  <si>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</si>
  <si>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</si>
  <si>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</si>
  <si>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</si>
  <si>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</si>
  <si>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</si>
  <si>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</si>
  <si>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</si>
  <si>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</si>
  <si>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</si>
  <si>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</si>
  <si>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</si>
  <si>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</si>
  <si>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</si>
  <si>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</si>
  <si>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</si>
  <si>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</si>
  <si>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</si>
  <si>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</si>
  <si>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</si>
  <si>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</si>
  <si>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</si>
  <si>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</si>
  <si>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</si>
  <si>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</si>
  <si>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</si>
  <si>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</si>
  <si>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</si>
  <si>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</si>
  <si>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</si>
  <si>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</si>
  <si>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</si>
  <si>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</si>
  <si>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</si>
  <si>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</si>
  <si>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</si>
  <si>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</si>
  <si>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</si>
  <si>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</si>
  <si>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</si>
  <si>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</si>
  <si>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</si>
  <si>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</si>
  <si>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</si>
  <si>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</si>
  <si>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</si>
  <si>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</si>
  <si>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Zagreb</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</si>
  <si>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</si>
  <si>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</si>
  <si>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</si>
  <si>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</si>
  <si>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</si>
  <si>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</si>
  <si>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</si>
  <si>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</si>
  <si>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</si>
  <si>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</si>
  <si>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</si>
  <si>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</si>
  <si>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</si>
  <si>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</si>
  <si>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</si>
  <si>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</si>
  <si>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</si>
  <si>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</si>
  <si>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</si>
  <si>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</si>
  <si>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</si>
  <si>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</si>
  <si>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</si>
  <si>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</si>
  <si>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</si>
  <si>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</si>
  <si>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</si>
  <si>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</si>
  <si>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</si>
  <si>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</si>
  <si>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</si>
  <si>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</si>
  <si>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</si>
  <si>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</si>
  <si>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</si>
  <si>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</si>
  <si>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</si>
  <si>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</si>
  <si>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</si>
  <si>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</si>
  <si>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</si>
  <si>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</si>
  <si>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</si>
  <si>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</si>
  <si>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</si>
  <si>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</si>
  <si>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</si>
  <si>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</si>
  <si>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</si>
  <si>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</si>
  <si>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</si>
  <si>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</si>
  <si>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</si>
  <si>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</si>
  <si>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</si>
  <si>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</si>
  <si>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</si>
  <si>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</si>
  <si>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</si>
  <si>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</si>
  <si>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</si>
  <si>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</si>
  <si>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</si>
  <si>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</si>
  <si>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</si>
  <si>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</si>
  <si>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</si>
  <si>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</si>
  <si>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</si>
  <si>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</si>
  <si>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</si>
  <si>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</si>
  <si>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</si>
  <si>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</si>
  <si>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</si>
  <si>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</si>
  <si>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</si>
  <si>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</si>
  <si>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</si>
  <si>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</si>
  <si>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</si>
  <si>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</si>
  <si>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</si>
  <si>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</si>
  <si>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</si>
  <si>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</si>
  <si>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</si>
  <si>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</si>
  <si>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</si>
  <si>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</si>
  <si>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</si>
  <si>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</si>
  <si>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</si>
  <si>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</si>
  <si>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</si>
  <si>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</si>
  <si>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</si>
  <si>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</si>
  <si>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</si>
  <si>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</si>
  <si>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</si>
  <si>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</si>
  <si>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</si>
  <si>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</si>
  <si>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</si>
  <si>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</si>
  <si>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</si>
  <si>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</si>
  <si>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</si>
  <si>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</si>
  <si>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</si>
  <si>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</si>
  <si>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</si>
  <si>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</si>
  <si>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</si>
  <si>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</si>
  <si>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</si>
  <si>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</si>
  <si>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</si>
  <si>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</si>
  <si>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</si>
  <si>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</si>
  <si>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</si>
  <si>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</si>
  <si>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</si>
  <si>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</si>
  <si>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</si>
  <si>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</si>
  <si>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</si>
  <si>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</si>
  <si>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</si>
  <si>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</si>
  <si>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</si>
  <si>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</si>
  <si>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Novigrad-Cittanova</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</si>
  <si>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</si>
  <si>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</si>
  <si>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</si>
  <si>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</si>
  <si>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</si>
  <si>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</si>
  <si>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</si>
  <si>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</si>
  <si>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</si>
  <si>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</si>
  <si>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</si>
  <si>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</si>
  <si>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</si>
  <si>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</si>
  <si>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</si>
  <si>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</si>
  <si>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</si>
  <si>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</si>
  <si>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</si>
  <si>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</si>
  <si>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</si>
  <si>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</si>
  <si>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</si>
  <si>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</si>
  <si>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</si>
  <si>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</si>
  <si>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</si>
  <si>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</si>
  <si>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</si>
  <si>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</si>
  <si>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</si>
  <si>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</si>
  <si>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</si>
  <si>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</si>
  <si>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</si>
  <si>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</si>
  <si>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</si>
  <si>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</si>
  <si>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</si>
  <si>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</si>
  <si>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</si>
  <si>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</si>
  <si>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</si>
  <si>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</si>
  <si>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</si>
  <si>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</si>
  <si>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</si>
  <si>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</si>
  <si>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</si>
  <si>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</si>
  <si>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</si>
  <si>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</si>
  <si>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</si>
  <si>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</si>
  <si>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</si>
  <si>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</si>
  <si>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</si>
  <si>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</si>
  <si>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</si>
  <si>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</si>
  <si>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</si>
  <si>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</si>
  <si>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</si>
  <si>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</si>
  <si>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</si>
  <si>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</si>
  <si>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</si>
  <si>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</si>
  <si>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</si>
  <si>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</si>
  <si>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</si>
  <si>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</si>
  <si>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</si>
  <si>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</si>
  <si>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</si>
  <si>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</si>
  <si>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</si>
  <si>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</si>
  <si>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</si>
  <si>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</si>
  <si>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</si>
  <si>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</si>
  <si>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</si>
  <si>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</si>
  <si>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</si>
  <si>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</si>
  <si>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</si>
  <si>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</si>
  <si>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</si>
  <si>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</si>
  <si>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</si>
  <si>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</si>
  <si>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</si>
  <si>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</si>
  <si>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</si>
  <si>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</si>
  <si>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</si>
  <si>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</si>
  <si>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</si>
  <si>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</si>
  <si>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</si>
  <si>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</si>
  <si>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</si>
  <si>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</si>
  <si>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</si>
  <si>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</si>
  <si>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</si>
  <si>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</si>
  <si>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</si>
  <si>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</si>
  <si>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</si>
  <si>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</si>
  <si>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</si>
  <si>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</si>
  <si>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</si>
  <si>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</si>
  <si>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</si>
  <si>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</si>
  <si>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</si>
  <si>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</si>
  <si>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</si>
  <si>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</si>
  <si>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</si>
  <si>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</si>
  <si>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 (istarska)</t>
  </si>
  <si>
    <t>Sveti Petar u Šumi</t>
  </si>
  <si>
    <t>Svetvinčenat</t>
  </si>
  <si>
    <t>Sveta Nedelja (zagrebačka)</t>
  </si>
  <si>
    <t>Sveti Đurđ</t>
  </si>
  <si>
    <t>Sveti Ilija</t>
  </si>
  <si>
    <t>Sveti Ivan Žabno</t>
  </si>
  <si>
    <t>Sveti Juraj na Bregu</t>
  </si>
  <si>
    <t>Sveti Martin na Muri</t>
  </si>
  <si>
    <t>Sveti Petar Orehovec</t>
  </si>
  <si>
    <t>Šestanovac</t>
  </si>
  <si>
    <t>Šibenik</t>
  </si>
  <si>
    <t>Škabrnja</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</si>
  <si>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</si>
  <si>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</si>
  <si>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</si>
  <si>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</si>
  <si>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</si>
  <si>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</si>
  <si>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</si>
  <si>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</si>
  <si>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</si>
  <si>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</si>
  <si>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</si>
  <si>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</si>
  <si>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</si>
  <si>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</si>
  <si>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</si>
  <si>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</si>
  <si>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</si>
  <si>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</si>
  <si>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</si>
  <si>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</si>
  <si>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</si>
  <si>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</si>
  <si>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</si>
  <si>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</si>
  <si>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</si>
  <si>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</si>
  <si>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</si>
  <si>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</si>
  <si>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</si>
  <si>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</si>
  <si>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</si>
  <si>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</si>
  <si>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</si>
  <si>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</si>
  <si>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</si>
  <si>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</si>
  <si>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</si>
  <si>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</si>
  <si>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</si>
  <si>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</si>
  <si>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</si>
  <si>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</si>
  <si>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</si>
  <si>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</si>
  <si>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</si>
  <si>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</si>
  <si>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</si>
  <si>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</si>
  <si>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</si>
  <si>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</si>
  <si>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</si>
  <si>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</si>
  <si>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</si>
  <si>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</si>
  <si>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</si>
  <si>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</si>
  <si>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</si>
  <si>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</si>
  <si>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</si>
  <si>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</si>
  <si>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</si>
  <si>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</si>
  <si>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</si>
  <si>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</si>
  <si>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</si>
  <si>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</si>
  <si>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</si>
  <si>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</si>
  <si>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</si>
  <si>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</si>
  <si>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</si>
  <si>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</si>
  <si>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</si>
  <si>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</si>
  <si>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</si>
  <si>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</si>
  <si>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</si>
  <si>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</si>
  <si>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</si>
  <si>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Novigrad (kraj Zadra)</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</si>
  <si>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</si>
  <si>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</si>
  <si>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</si>
  <si>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</si>
  <si>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</si>
  <si>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</si>
  <si>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</si>
  <si>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</si>
  <si>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</si>
  <si>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</si>
  <si>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</si>
  <si>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</si>
  <si>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</si>
  <si>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</si>
  <si>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</si>
  <si>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</si>
  <si>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</si>
  <si>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</si>
  <si>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</si>
  <si>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</si>
  <si>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</si>
  <si>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</si>
  <si>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</si>
  <si>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</si>
  <si>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</si>
  <si>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</si>
  <si>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</si>
  <si>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</si>
  <si>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</si>
  <si>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</si>
  <si>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</si>
  <si>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</si>
  <si>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</si>
  <si>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</si>
  <si>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 (kraj Zadra)</t>
  </si>
  <si>
    <t>Tkon</t>
  </si>
  <si>
    <t>Donja Motičina</t>
  </si>
  <si>
    <t>Magadenovac</t>
  </si>
  <si>
    <t>Vladislavci</t>
  </si>
  <si>
    <t>Pirovac</t>
  </si>
  <si>
    <t>Rogoznica</t>
  </si>
  <si>
    <t>Privlaka (kraj Vinkovaca)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</si>
  <si>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</si>
  <si>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</si>
  <si>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</si>
  <si>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</si>
  <si>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</si>
  <si>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</si>
  <si>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</si>
  <si>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</si>
  <si>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</si>
  <si>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</si>
  <si>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</si>
  <si>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</si>
  <si>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</si>
  <si>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</si>
  <si>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</si>
  <si>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</si>
  <si>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</si>
  <si>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</si>
  <si>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</si>
  <si>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</si>
  <si>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</si>
  <si>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</si>
  <si>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</si>
  <si>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</si>
  <si>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</si>
  <si>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</si>
  <si>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</si>
  <si>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</si>
  <si>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</si>
  <si>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</si>
  <si>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</si>
  <si>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</si>
  <si>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</si>
  <si>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</si>
  <si>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</si>
  <si>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</si>
  <si>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</si>
  <si>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</si>
  <si>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</si>
  <si>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</si>
  <si>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</si>
  <si>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</si>
  <si>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0000</t>
  </si>
  <si>
    <t>Fizičke osobe bez djelatnosti</t>
  </si>
  <si>
    <t>0111</t>
  </si>
  <si>
    <t>Uzgoj žitarica (osim riže), mahunarki ...</t>
  </si>
  <si>
    <t>0112</t>
  </si>
  <si>
    <t>Uzgoj riže</t>
  </si>
  <si>
    <t>0113</t>
  </si>
  <si>
    <t>Uzgoj povrća, dinja i lubenica, korjen...</t>
  </si>
  <si>
    <t>0114</t>
  </si>
  <si>
    <t>Uzgoj šećerne trske</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</si>
  <si>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</si>
  <si>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</si>
  <si>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</si>
  <si>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</si>
  <si>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</si>
  <si>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</si>
  <si>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</si>
  <si>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</si>
  <si>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</si>
  <si>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</si>
  <si>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</si>
  <si>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</si>
  <si>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</si>
  <si>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</si>
  <si>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</si>
  <si>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Uzgoj bobičastog, orašastog i ostalog ...</t>
  </si>
  <si>
    <t>0126</t>
  </si>
  <si>
    <t>Uzgoj uljanih plodova</t>
  </si>
  <si>
    <t>0127</t>
  </si>
  <si>
    <t>Uzgoj usjeva za pripremanje napitaka</t>
  </si>
  <si>
    <t>0128</t>
  </si>
  <si>
    <t>Uzgoj bilja za uporabu u farmaciji, ar...</t>
  </si>
  <si>
    <t>0129</t>
  </si>
  <si>
    <t xml:space="preserve">Uzgoj ostalih višegodišnjih usjeva </t>
  </si>
  <si>
    <t>0130</t>
  </si>
  <si>
    <t>Uzgoj sadnog materijala i ukrasnog bilja</t>
  </si>
  <si>
    <t>0141</t>
  </si>
  <si>
    <t>Uzgoj muznih krava</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</si>
  <si>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</si>
  <si>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</si>
  <si>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</si>
  <si>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</si>
  <si>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</si>
  <si>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</si>
  <si>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</si>
  <si>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</si>
  <si>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</si>
  <si>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</si>
  <si>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</si>
  <si>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</si>
  <si>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</si>
  <si>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</si>
  <si>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</si>
  <si>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</si>
  <si>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</si>
  <si>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Pomoćne djelatnosti za uzgoj usjeva</t>
  </si>
  <si>
    <t>0162</t>
  </si>
  <si>
    <t>Pomoćne djelatnosti za uzgoj životinja</t>
  </si>
  <si>
    <t>0163</t>
  </si>
  <si>
    <t>Djelatnosti koje se obavljaju nakon že...</t>
  </si>
  <si>
    <t>0164</t>
  </si>
  <si>
    <t>Dorada sjemena za sjemenski materijal</t>
  </si>
  <si>
    <t>0170</t>
  </si>
  <si>
    <t>Lov, stupičarenje i uslužne djelatnost...</t>
  </si>
  <si>
    <t>0210</t>
  </si>
  <si>
    <t>Uzgoj šuma i ostale djelatnosti u šuma...</t>
  </si>
  <si>
    <t>0220</t>
  </si>
  <si>
    <t xml:space="preserve">Sječa drva </t>
  </si>
  <si>
    <t>0230</t>
  </si>
  <si>
    <t>Skupljanje šumskih plodova i proizvoda...</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</si>
  <si>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</si>
  <si>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</si>
  <si>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</si>
  <si>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</si>
  <si>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</si>
  <si>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</si>
  <si>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</si>
  <si>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</si>
  <si>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</si>
  <si>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</si>
  <si>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</si>
  <si>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</si>
  <si>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</si>
  <si>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Vađenje lignita</t>
  </si>
  <si>
    <t>0610</t>
  </si>
  <si>
    <t xml:space="preserve">Vađenje sirove nafte </t>
  </si>
  <si>
    <t>0620</t>
  </si>
  <si>
    <t>Vađenje prirodnog plina</t>
  </si>
  <si>
    <t>0710</t>
  </si>
  <si>
    <t>Vađenje željeznih ruda</t>
  </si>
  <si>
    <t>0721</t>
  </si>
  <si>
    <t>Vađenje uranovih i torijevih ruda</t>
  </si>
  <si>
    <t>0729</t>
  </si>
  <si>
    <t>Vađenje ostalih ruda obojenih metala</t>
  </si>
  <si>
    <t>0811</t>
  </si>
  <si>
    <t>Vađenje ukrasnoga kamena i kamena za g...</t>
  </si>
  <si>
    <t>0812</t>
  </si>
  <si>
    <t>Djelatnosti šljunčara i pješčara; vađe...</t>
  </si>
  <si>
    <t>0891</t>
  </si>
  <si>
    <t>Vađenje minerala za kemikalije i gnojiva</t>
  </si>
  <si>
    <t>0892</t>
  </si>
  <si>
    <t>Vađenje treseta</t>
  </si>
  <si>
    <t>0893</t>
  </si>
  <si>
    <t>Vađenje soli</t>
  </si>
  <si>
    <t>0899</t>
  </si>
  <si>
    <t>Vađenje ostalih ruda i kamena, d. n.</t>
  </si>
  <si>
    <t>0910</t>
  </si>
  <si>
    <t>Pomoćne djelatnosti za vađenje nafte i...</t>
  </si>
  <si>
    <t>0990</t>
  </si>
  <si>
    <t>Pomoćne djelatnosti za ostalo rudarstv...</t>
  </si>
  <si>
    <t>1011</t>
  </si>
  <si>
    <t>Prerada i konzerviranje mesa</t>
  </si>
  <si>
    <t>1012</t>
  </si>
  <si>
    <t>Prerada i konzerviranje mesa peradi</t>
  </si>
  <si>
    <t>1013</t>
  </si>
  <si>
    <t>Proizvodnja proizvoda od mesa i mesa p...</t>
  </si>
  <si>
    <t>1020</t>
  </si>
  <si>
    <t>Prerada i konzerviranje riba, rakova i...</t>
  </si>
  <si>
    <t>1031</t>
  </si>
  <si>
    <t>Prerada i konzerviranje krumpira</t>
  </si>
  <si>
    <t>1032</t>
  </si>
  <si>
    <t>Proizvodnja sokova od voća i povrća</t>
  </si>
  <si>
    <t>1039</t>
  </si>
  <si>
    <t>Ostala prerada i konzerviranje voća i ...</t>
  </si>
  <si>
    <t>1041</t>
  </si>
  <si>
    <t>Proizvodnja ulja i masti</t>
  </si>
  <si>
    <t>1042</t>
  </si>
  <si>
    <t>Proizvodnja margarina i sličnih jestiv...</t>
  </si>
  <si>
    <t>1051</t>
  </si>
  <si>
    <t>Djelatnosti mljekara i proizvođača sira</t>
  </si>
  <si>
    <t>1052</t>
  </si>
  <si>
    <t>Proizvodnja sladoleda</t>
  </si>
  <si>
    <t>1061</t>
  </si>
  <si>
    <t>Proizvodnja mlinskih proizvoda</t>
  </si>
  <si>
    <t>1062</t>
  </si>
  <si>
    <t>Proizvodnja škroba i škrobnih proizvoda</t>
  </si>
  <si>
    <t>1071</t>
  </si>
  <si>
    <t>Proizvodnja kruha; proizvodnja svježih...</t>
  </si>
  <si>
    <t>1072</t>
  </si>
  <si>
    <t>Proizvodnja dvopeka, keksa i srodnih p...</t>
  </si>
  <si>
    <t>1073</t>
  </si>
  <si>
    <t>Proizvodnja makarona, njoka, kuskusa i...</t>
  </si>
  <si>
    <t>1081</t>
  </si>
  <si>
    <t>Proizvodnja šećera</t>
  </si>
  <si>
    <t>1082</t>
  </si>
  <si>
    <t>Proizvodnja kakao, čokoladnih i bombon...</t>
  </si>
  <si>
    <t>1083</t>
  </si>
  <si>
    <t>Prerada čaja i kave</t>
  </si>
  <si>
    <t>1084</t>
  </si>
  <si>
    <t>Proizvodnja začina i drugih dodataka h...</t>
  </si>
  <si>
    <t>1085</t>
  </si>
  <si>
    <t>Proizvodnja gotove hrane i jela</t>
  </si>
  <si>
    <t>1086</t>
  </si>
  <si>
    <t>Proizvodnja homogeniziranih prehramben...</t>
  </si>
  <si>
    <t>1089</t>
  </si>
  <si>
    <t>Proizvodnja ostalih prehrambenih proiz...</t>
  </si>
  <si>
    <t>1091</t>
  </si>
  <si>
    <t>Proizvodnja pripremljene stočne hrane</t>
  </si>
  <si>
    <t>1092</t>
  </si>
  <si>
    <t>Proizvodnja pripremljene hrane za kućn...</t>
  </si>
  <si>
    <t>1101</t>
  </si>
  <si>
    <t>Destiliranje, pročišćavanje i miješanj...</t>
  </si>
  <si>
    <t>1102</t>
  </si>
  <si>
    <t>Proizvodnja vina od grožđa</t>
  </si>
  <si>
    <t>1103</t>
  </si>
  <si>
    <t>Proizvodnja jabukovače i ostalih voćni...</t>
  </si>
  <si>
    <t>1104</t>
  </si>
  <si>
    <t>Proizvodnja ostalih nedestiliranih fer...</t>
  </si>
  <si>
    <t>1105</t>
  </si>
  <si>
    <t>Proizvodnja piva</t>
  </si>
  <si>
    <t>1106</t>
  </si>
  <si>
    <t>Proizvodnja slada</t>
  </si>
  <si>
    <t>1107</t>
  </si>
  <si>
    <t>Proizvodnja osvježavajućih napitaka; p...</t>
  </si>
  <si>
    <t>1200</t>
  </si>
  <si>
    <t>Proizvodnja duhanskih proizvoda</t>
  </si>
  <si>
    <t>1310</t>
  </si>
  <si>
    <t>Priprema i predenje tekstilnih vlakana</t>
  </si>
  <si>
    <t>1320</t>
  </si>
  <si>
    <t>Tkanje tekstila</t>
  </si>
  <si>
    <t>1330</t>
  </si>
  <si>
    <t>Dovršavanje tekstila</t>
  </si>
  <si>
    <t>1391</t>
  </si>
  <si>
    <t>Proizvodnja pletenih i kukičanih tkanina</t>
  </si>
  <si>
    <t>1392</t>
  </si>
  <si>
    <t>Proizvodnja gotovih tekstilnih proizvo...</t>
  </si>
  <si>
    <t>1393</t>
  </si>
  <si>
    <t xml:space="preserve">Proizvodnja tepiha i sagova </t>
  </si>
  <si>
    <t>1394</t>
  </si>
  <si>
    <t>Proizvodnja užadi, konopaca, upletenog...</t>
  </si>
  <si>
    <t>1395</t>
  </si>
  <si>
    <t>Proizvodnja netkanog tekstila i proizv...</t>
  </si>
  <si>
    <t>1396</t>
  </si>
  <si>
    <t>Proizvodnja ostaloga tehničkog i indus...</t>
  </si>
  <si>
    <t>1399</t>
  </si>
  <si>
    <t>Proizvodnja ostalog tekstila, d. n.</t>
  </si>
  <si>
    <t>1411</t>
  </si>
  <si>
    <t>Proizvodnja kožne odjeće</t>
  </si>
  <si>
    <t>1412</t>
  </si>
  <si>
    <t xml:space="preserve">Proizvodnja radne odjeće </t>
  </si>
  <si>
    <t>1413</t>
  </si>
  <si>
    <t>Proizvodnja ostale vanjske odjeće</t>
  </si>
  <si>
    <t>1414</t>
  </si>
  <si>
    <t>Proizvodnja rublja</t>
  </si>
  <si>
    <t>1419</t>
  </si>
  <si>
    <t>Proizvodnja ostale odjeće i pribora za...</t>
  </si>
  <si>
    <t>1420</t>
  </si>
  <si>
    <t>Proizvodnja proizvoda od krzna</t>
  </si>
  <si>
    <t>1431</t>
  </si>
  <si>
    <t>Proizvodnja pletenih i kukičanih čarapa</t>
  </si>
  <si>
    <t>1439</t>
  </si>
  <si>
    <t>Proizvodnja ostale pletene i kukičane ...</t>
  </si>
  <si>
    <t>1511</t>
  </si>
  <si>
    <t>Štavljenje i obrada kože; dorada i boj...</t>
  </si>
  <si>
    <t>1512</t>
  </si>
  <si>
    <t>Proizvodnja putnih i ručnih torba i sl...</t>
  </si>
  <si>
    <t>1520</t>
  </si>
  <si>
    <t>Proizvodnja obuće</t>
  </si>
  <si>
    <t>1610</t>
  </si>
  <si>
    <t>Piljenje i blanjanje drva</t>
  </si>
  <si>
    <t>1621</t>
  </si>
  <si>
    <t>Proizvodnja furnira i ostalih ploča od...</t>
  </si>
  <si>
    <t>1622</t>
  </si>
  <si>
    <t>Proizvodnja sastavljenog parketa</t>
  </si>
  <si>
    <t>1623</t>
  </si>
  <si>
    <t>Proizvodnja ostale građevne stolarije ...</t>
  </si>
  <si>
    <t>1624</t>
  </si>
  <si>
    <t>Proizvodnja ambalaže od drva</t>
  </si>
  <si>
    <t>1629</t>
  </si>
  <si>
    <t>Proizvodnja ostalih proizvoda od drva,...</t>
  </si>
  <si>
    <t>1711</t>
  </si>
  <si>
    <t>Proizvodnja celuloze</t>
  </si>
  <si>
    <t>1712</t>
  </si>
  <si>
    <t>Proizvodnja papira i kartona</t>
  </si>
  <si>
    <t>1721</t>
  </si>
  <si>
    <t>Proizvodnja valovitog papira i kartona...</t>
  </si>
  <si>
    <t>1722</t>
  </si>
  <si>
    <t>Proizvodnja robe za kućanstvo i higije...</t>
  </si>
  <si>
    <t>1723</t>
  </si>
  <si>
    <t>Proizvodnja uredskog materijala od pap...</t>
  </si>
  <si>
    <t>1724</t>
  </si>
  <si>
    <t>Proizvodnja zidnih tapeta</t>
  </si>
  <si>
    <t>1729</t>
  </si>
  <si>
    <t>Proizvodnja ostalih proizvoda od papir...</t>
  </si>
  <si>
    <t>1811</t>
  </si>
  <si>
    <t>Tiskanje novina</t>
  </si>
  <si>
    <t>1812</t>
  </si>
  <si>
    <t xml:space="preserve">Ostalo tiskanje </t>
  </si>
  <si>
    <t>1813</t>
  </si>
  <si>
    <t>Usluge pripreme za tisak i objavljivanje</t>
  </si>
  <si>
    <t>1814</t>
  </si>
  <si>
    <t xml:space="preserve">Knjigoveške i srodne usluge </t>
  </si>
  <si>
    <t>1820</t>
  </si>
  <si>
    <t>Umnožavanje snimljenih zapisa</t>
  </si>
  <si>
    <t>1910</t>
  </si>
  <si>
    <t>Proizvodnja proizvoda koksnih peći</t>
  </si>
  <si>
    <t>1920</t>
  </si>
  <si>
    <t>Proizvodnja rafiniranih naftnih proizv...</t>
  </si>
  <si>
    <t>2011</t>
  </si>
  <si>
    <t>Proizvodnja industrijskih plinova</t>
  </si>
  <si>
    <t>2012</t>
  </si>
  <si>
    <t>Proizvodnja koloranata i pigmenata</t>
  </si>
  <si>
    <t>2013</t>
  </si>
  <si>
    <t>Proizvodnja ostalih anorganskih osnovn...</t>
  </si>
  <si>
    <t>2014</t>
  </si>
  <si>
    <t>Proizvodnja ostalih organskih osnovnih...</t>
  </si>
  <si>
    <t>2015</t>
  </si>
  <si>
    <t>Proizvodnja gnojiva i dušičnih spojeva</t>
  </si>
  <si>
    <t>2016</t>
  </si>
  <si>
    <t>Proizvodnja plastike u primarnim oblic...</t>
  </si>
  <si>
    <t>2017</t>
  </si>
  <si>
    <t>Proizvodnja sintetičkoga kaučuka u pri...</t>
  </si>
  <si>
    <t>2020</t>
  </si>
  <si>
    <t>Proizvodnja pesticida i drugih agrokem...</t>
  </si>
  <si>
    <t>2030</t>
  </si>
  <si>
    <t>Proizvodnja boja, lakova i sličnih pre...</t>
  </si>
  <si>
    <t>2041</t>
  </si>
  <si>
    <t>Proizvodnja sapuna i deterdženata, sre...</t>
  </si>
  <si>
    <t>2042</t>
  </si>
  <si>
    <t>Proizvodnja parfema i toaletno-kozmeti...</t>
  </si>
  <si>
    <t>2051</t>
  </si>
  <si>
    <t>Proizvodnja eksploziva</t>
  </si>
  <si>
    <t>2052</t>
  </si>
  <si>
    <t xml:space="preserve">Proizvodnja ljepila </t>
  </si>
  <si>
    <t>2053</t>
  </si>
  <si>
    <t>Proizvodnja eteričnih ulja</t>
  </si>
  <si>
    <t>2059</t>
  </si>
  <si>
    <t>Proizvodnja ostalih kemijskih proizvod...</t>
  </si>
  <si>
    <t>2060</t>
  </si>
  <si>
    <t>Proizvodnja umjetnih vlakana</t>
  </si>
  <si>
    <t>2110</t>
  </si>
  <si>
    <t>Proizvodnja osnovnih farmaceutskih pro...</t>
  </si>
  <si>
    <t>2120</t>
  </si>
  <si>
    <t>Proizvodnja farmaceutskih pripravaka</t>
  </si>
  <si>
    <t>2211</t>
  </si>
  <si>
    <t>Proizvodnja vanjskih i unutrašnjih gum...</t>
  </si>
  <si>
    <t>2219</t>
  </si>
  <si>
    <t>Proizvodnja ostalih proizvoda od gume</t>
  </si>
  <si>
    <t>2221</t>
  </si>
  <si>
    <t>Proizvodnja ploča, listova, cijevi i p...</t>
  </si>
  <si>
    <t>2222</t>
  </si>
  <si>
    <t>Proizvodnja ambalaže od plastike</t>
  </si>
  <si>
    <t>2223</t>
  </si>
  <si>
    <t>Proizvodnja proizvoda od plastike za g...</t>
  </si>
  <si>
    <t>2229</t>
  </si>
  <si>
    <t>Proizvodnja ostalih proizvoda od plast...</t>
  </si>
  <si>
    <t>2311</t>
  </si>
  <si>
    <t>Proizvodnja ravnog stakla</t>
  </si>
  <si>
    <t>2312</t>
  </si>
  <si>
    <t>Oblikovanje i obrada ravnog stakla</t>
  </si>
  <si>
    <t>2313</t>
  </si>
  <si>
    <t>Proizvodnja šupljeg stakla</t>
  </si>
  <si>
    <t>2314</t>
  </si>
  <si>
    <t>Proizvodnja staklenih vlakana</t>
  </si>
  <si>
    <t>2319</t>
  </si>
  <si>
    <t>Proizvodnja i obrada ostalog stakla uk...</t>
  </si>
  <si>
    <t>2320</t>
  </si>
  <si>
    <t>Proizvodnja vatrostalnih proizvoda</t>
  </si>
  <si>
    <t>2331</t>
  </si>
  <si>
    <t>Proizvodnja keramičkih pločica i ploča</t>
  </si>
  <si>
    <t>2332</t>
  </si>
  <si>
    <t>Proizvodnja opeke, crijepa i ostalih p...</t>
  </si>
  <si>
    <t>2341</t>
  </si>
  <si>
    <t>Proizvodnja keramičkih proizvoda za ku...</t>
  </si>
  <si>
    <t>2342</t>
  </si>
  <si>
    <t xml:space="preserve">Proizvodnja sanitarne keramike </t>
  </si>
  <si>
    <t>2343</t>
  </si>
  <si>
    <t>Proizvodnja keramičkih izolatora i izo...</t>
  </si>
  <si>
    <t>2344</t>
  </si>
  <si>
    <t>Proizvodnja ostalih tehničkih proizvod...</t>
  </si>
  <si>
    <t>2349</t>
  </si>
  <si>
    <t>Proizvodnja ostalih proizvoda od keram...</t>
  </si>
  <si>
    <t>2351</t>
  </si>
  <si>
    <t>Proizvodnja cementa</t>
  </si>
  <si>
    <t>2352</t>
  </si>
  <si>
    <t xml:space="preserve">Proizvodnja vapna i gipsa </t>
  </si>
  <si>
    <t>2361</t>
  </si>
  <si>
    <t>Proizvodnja proizvoda od betona za gra...</t>
  </si>
  <si>
    <t>2362</t>
  </si>
  <si>
    <t>Proizvodnja proizvoda od gipsa za građ...</t>
  </si>
  <si>
    <t>2363</t>
  </si>
  <si>
    <t>Proizvodnja gotove betonske smjese</t>
  </si>
  <si>
    <t>2364</t>
  </si>
  <si>
    <t>Proizvodnja žbuke</t>
  </si>
  <si>
    <t>2365</t>
  </si>
  <si>
    <t>Proizvodnja fibro-cementa</t>
  </si>
  <si>
    <t>2369</t>
  </si>
  <si>
    <t>Proizvodnja ostalih proizvoda od beton...</t>
  </si>
  <si>
    <t>2370</t>
  </si>
  <si>
    <t>Rezanje, oblikovanje i obrada kamena</t>
  </si>
  <si>
    <t>2391</t>
  </si>
  <si>
    <t>Proizvodnja brusnih proizvoda</t>
  </si>
  <si>
    <t>2399</t>
  </si>
  <si>
    <t>Proizvodnja ostalih nemetalnih mineral...</t>
  </si>
  <si>
    <t>2410</t>
  </si>
  <si>
    <t>Proizvodnja sirovog željeza, čelika i ...</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</si>
  <si>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</si>
  <si>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</si>
  <si>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</si>
  <si>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</si>
  <si>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</si>
  <si>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</si>
  <si>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</si>
  <si>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</si>
  <si>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</si>
  <si>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</si>
  <si>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</si>
  <si>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</si>
  <si>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</si>
  <si>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</si>
  <si>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</si>
  <si>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</si>
  <si>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</si>
  <si>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</si>
  <si>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</si>
  <si>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</si>
  <si>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</si>
  <si>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</si>
  <si>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</si>
  <si>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</si>
  <si>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</si>
  <si>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Lijevanje čelika</t>
  </si>
  <si>
    <t>2453</t>
  </si>
  <si>
    <t>Lijevanje lakih metala</t>
  </si>
  <si>
    <t>2454</t>
  </si>
  <si>
    <t>Lijevanje ostalih obojenih metala</t>
  </si>
  <si>
    <t>2511</t>
  </si>
  <si>
    <t>Proizvodnja metalnih konstrukcija i nj...</t>
  </si>
  <si>
    <t>2512</t>
  </si>
  <si>
    <t>Proizvodnja vrata i prozora od metala</t>
  </si>
  <si>
    <t>2521</t>
  </si>
  <si>
    <t>Proizvodnja radijatora i kotlova za ce...</t>
  </si>
  <si>
    <t>2529</t>
  </si>
  <si>
    <t>Proizvodnja ostalih metalnih cisterni,...</t>
  </si>
  <si>
    <t>2530</t>
  </si>
  <si>
    <t>Proizvodnja parnih kotlova, osim kotlo...</t>
  </si>
  <si>
    <t>2540</t>
  </si>
  <si>
    <t>Proizvodnja oružja i streljiva</t>
  </si>
  <si>
    <t>2550</t>
  </si>
  <si>
    <t>Kovanje, prešanje, štancanje i valjanj...</t>
  </si>
  <si>
    <t>2561</t>
  </si>
  <si>
    <t>Obrada i prevlačenje metala</t>
  </si>
  <si>
    <t>2562</t>
  </si>
  <si>
    <t>Strojna obrada metala</t>
  </si>
  <si>
    <t>2571</t>
  </si>
  <si>
    <t>Proizvodnja sječiva</t>
  </si>
  <si>
    <t>2572</t>
  </si>
  <si>
    <t>Proizvodnja brava i okova</t>
  </si>
  <si>
    <t>2573</t>
  </si>
  <si>
    <t>Proizvodnja alata</t>
  </si>
  <si>
    <t>2591</t>
  </si>
  <si>
    <t>Proizvodnja čeličnih bačava i sličnih ...</t>
  </si>
  <si>
    <t>2592</t>
  </si>
  <si>
    <t>Proizvodnja ambalaže od lakih metala</t>
  </si>
  <si>
    <t>2593</t>
  </si>
  <si>
    <t>Proizvodnja proizvoda od žice, lanaca ...</t>
  </si>
  <si>
    <t>2594</t>
  </si>
  <si>
    <t>Proizvodnja zakovica i vijčane robe</t>
  </si>
  <si>
    <t>2599</t>
  </si>
  <si>
    <t>Proizvodnja ostalih gotovih proizvoda ...</t>
  </si>
  <si>
    <t>2611</t>
  </si>
  <si>
    <t xml:space="preserve">Proizvodnja elektroničkih komponenata </t>
  </si>
  <si>
    <t>2612</t>
  </si>
  <si>
    <t>Proizvodnja punih elektroničkih ploča</t>
  </si>
  <si>
    <t>2620</t>
  </si>
  <si>
    <t>Proizvodnja računala i periferne opreme</t>
  </si>
  <si>
    <t>2630</t>
  </si>
  <si>
    <t>Proizvodnja komunikacijske opreme</t>
  </si>
  <si>
    <t>2640</t>
  </si>
  <si>
    <t>Proizvodnja elektroničkih uređaja za š...</t>
  </si>
  <si>
    <t>2651</t>
  </si>
  <si>
    <t>Proizvodnja instrumenata i aparata za ...</t>
  </si>
  <si>
    <t>2652</t>
  </si>
  <si>
    <t xml:space="preserve">Proizvodnja satova </t>
  </si>
  <si>
    <t>2660</t>
  </si>
  <si>
    <t>Proizvodnja opreme za zračenje, elektr...</t>
  </si>
  <si>
    <t>2670</t>
  </si>
  <si>
    <t>Proizvodnja optičkih instrumenata i fo...</t>
  </si>
  <si>
    <t>2680</t>
  </si>
  <si>
    <t>Proizvodnja magnetskih i optičkih medija</t>
  </si>
  <si>
    <t>2711</t>
  </si>
  <si>
    <t>Proizvodnja elektromotora, generatora ...</t>
  </si>
  <si>
    <t>2712</t>
  </si>
  <si>
    <t>Proizvodnja uređaja za distribuciju i ...</t>
  </si>
  <si>
    <t>2720</t>
  </si>
  <si>
    <t>Proizvodnja baterija i akumulatora</t>
  </si>
  <si>
    <t>2731</t>
  </si>
  <si>
    <t>Proizvodnja kablova od optičkih vlakana</t>
  </si>
  <si>
    <t>2732</t>
  </si>
  <si>
    <t>Proizvodnja ostalih elektroničkih i el...</t>
  </si>
  <si>
    <t>2733</t>
  </si>
  <si>
    <t>Proizvodnja elektroinstalacijskog mate...</t>
  </si>
  <si>
    <t>2740</t>
  </si>
  <si>
    <t>Proizvodnja električne opreme za rasvj...</t>
  </si>
  <si>
    <t>2751</t>
  </si>
  <si>
    <t>Proizvodnja električnih aparata za kuć...</t>
  </si>
  <si>
    <t>2752</t>
  </si>
  <si>
    <t>Proizvodnja neelektričnih aparata za k...</t>
  </si>
  <si>
    <t>2790</t>
  </si>
  <si>
    <t>Proizvodnja ostale električne opreme</t>
  </si>
  <si>
    <t>2811</t>
  </si>
  <si>
    <t>Proizvodnja motora i turbina, osim mot...</t>
  </si>
  <si>
    <t>2812</t>
  </si>
  <si>
    <t>Proizvodnja hidrauličnih pogonskih ure...</t>
  </si>
  <si>
    <t>2813</t>
  </si>
  <si>
    <t>Proizvodnja ostalih crpki i kompresora</t>
  </si>
  <si>
    <t>2814</t>
  </si>
  <si>
    <t>Proizvodnja ostalih slavina i ventila</t>
  </si>
  <si>
    <t>2815</t>
  </si>
  <si>
    <t>Proizvodnja ležajeva, prijenosnika te ...</t>
  </si>
  <si>
    <t>2821</t>
  </si>
  <si>
    <t>Proizvodnja peći i plamenika</t>
  </si>
  <si>
    <t>2822</t>
  </si>
  <si>
    <t>Proizvodnja uređaja za dizanje i preno...</t>
  </si>
  <si>
    <t>2823</t>
  </si>
  <si>
    <t>Proizvodnja uredskih strojeva i opreme...</t>
  </si>
  <si>
    <t>2824</t>
  </si>
  <si>
    <t>Proizvodnja mehaniziranoga ručnog alata</t>
  </si>
  <si>
    <t>2825</t>
  </si>
  <si>
    <t>Proizvodnja rashladne i ventilacijske ...</t>
  </si>
  <si>
    <t>2829</t>
  </si>
  <si>
    <t>Proizvodnja ostalih strojeva za opće n...</t>
  </si>
  <si>
    <t>2830</t>
  </si>
  <si>
    <t>Proizvodnja strojeva za poljoprivredu ...</t>
  </si>
  <si>
    <t>2841</t>
  </si>
  <si>
    <t>Proizvodnja strojeva za obradu metala</t>
  </si>
  <si>
    <t>2849</t>
  </si>
  <si>
    <t>Proizvodnja ostalih alatnih strojeva</t>
  </si>
  <si>
    <t>2891</t>
  </si>
  <si>
    <t>Proizvodnja strojeva za metalurgiju</t>
  </si>
  <si>
    <t>2892</t>
  </si>
  <si>
    <t>Proizvodnja strojeva za rudnike, kamen...</t>
  </si>
  <si>
    <t>2893</t>
  </si>
  <si>
    <t>Proizvodnja strojeva za industriju hra...</t>
  </si>
  <si>
    <t>2894</t>
  </si>
  <si>
    <t>Proizvodnja strojeva za industriju tek...</t>
  </si>
  <si>
    <t>2895</t>
  </si>
  <si>
    <t>Proizvodnja strojeva za industriju pap...</t>
  </si>
  <si>
    <t>2896</t>
  </si>
  <si>
    <t>Proizvodnja strojeva za plastiku i gumu</t>
  </si>
  <si>
    <t>2899</t>
  </si>
  <si>
    <t>Proizvodnja ostalih strojeva za posebn...</t>
  </si>
  <si>
    <t>2910</t>
  </si>
  <si>
    <t>Proizvodnja motornih vozila</t>
  </si>
  <si>
    <t>2920</t>
  </si>
  <si>
    <t>Proizvodnja karoserija za motorna vozi...</t>
  </si>
  <si>
    <t>2931</t>
  </si>
  <si>
    <t>Proizvodnja električne i elektroničke ...</t>
  </si>
  <si>
    <t>2932</t>
  </si>
  <si>
    <t>Proizvodnja ostalih dijelova i pribora...</t>
  </si>
  <si>
    <t>3011</t>
  </si>
  <si>
    <t>Gradnja brodova i plutajućih objekata</t>
  </si>
  <si>
    <t>3012</t>
  </si>
  <si>
    <t>Gradnja čamaca za razonodu i sportskih...</t>
  </si>
  <si>
    <t>3020</t>
  </si>
  <si>
    <t>Proizvodnja željezničkih lokomotiva i ...</t>
  </si>
  <si>
    <t>3030</t>
  </si>
  <si>
    <t>Proizvodnja zrakoplova i svemirskih le...</t>
  </si>
  <si>
    <t>3040</t>
  </si>
  <si>
    <t>Proizvodnja vojnih borbenih vozila</t>
  </si>
  <si>
    <t>3091</t>
  </si>
  <si>
    <t>Proizvodnja motocikala</t>
  </si>
  <si>
    <t>3092</t>
  </si>
  <si>
    <t>Proizvodnja bicikala i invalidskih kol...</t>
  </si>
  <si>
    <t>3099</t>
  </si>
  <si>
    <t>Proizvodnja ostalih prijevoznih sredst...</t>
  </si>
  <si>
    <t>3101</t>
  </si>
  <si>
    <t>Proizvodnja namještaja za poslovne i p...</t>
  </si>
  <si>
    <t>3102</t>
  </si>
  <si>
    <t>Proizvodnja kuhinjskog namještaja</t>
  </si>
  <si>
    <t>3103</t>
  </si>
  <si>
    <t>Proizvodnja madraca</t>
  </si>
  <si>
    <t>3109</t>
  </si>
  <si>
    <t>Proizvodnja ostalog namještaja</t>
  </si>
  <si>
    <t>3211</t>
  </si>
  <si>
    <t>Proizvodnja novca</t>
  </si>
  <si>
    <t>3212</t>
  </si>
  <si>
    <t>Proizvodnja nakita i srodnih proizvoda</t>
  </si>
  <si>
    <t>3213</t>
  </si>
  <si>
    <t>Proizvodnja imitacije nakita (bižuteri...</t>
  </si>
  <si>
    <t>3220</t>
  </si>
  <si>
    <t>Proizvodnja glazbenih instrumenata</t>
  </si>
  <si>
    <t>3230</t>
  </si>
  <si>
    <t>Proizvodnja sportske opreme</t>
  </si>
  <si>
    <t>3240</t>
  </si>
  <si>
    <t>Proizvodnja igara i igračaka</t>
  </si>
  <si>
    <t>3250</t>
  </si>
  <si>
    <t>Proizvodnja medicinskih i stomatološki...</t>
  </si>
  <si>
    <t>3291</t>
  </si>
  <si>
    <t>Proizvodnja metla i četaka</t>
  </si>
  <si>
    <t>3299</t>
  </si>
  <si>
    <t xml:space="preserve">Ostala prerađivačka industrija, d. n. </t>
  </si>
  <si>
    <t>3311</t>
  </si>
  <si>
    <t>Popravak proizvoda od metala</t>
  </si>
  <si>
    <t>3312</t>
  </si>
  <si>
    <t>Popravak strojeva</t>
  </si>
  <si>
    <t>3313</t>
  </si>
  <si>
    <t>Popravak elektroničke i optičke opreme</t>
  </si>
  <si>
    <t>3314</t>
  </si>
  <si>
    <t>Popravak električne opreme</t>
  </si>
  <si>
    <t>3315</t>
  </si>
  <si>
    <t>Popravak i održavanje brodova i čamaca</t>
  </si>
  <si>
    <t>3316</t>
  </si>
  <si>
    <t>Popravak i održavanje zrakoplova i sve...</t>
  </si>
  <si>
    <t>3317</t>
  </si>
  <si>
    <t>Popravak i održavanje ostalih prijevoz...</t>
  </si>
  <si>
    <t>3319</t>
  </si>
  <si>
    <t>Popravak ostale opreme</t>
  </si>
  <si>
    <t>3320</t>
  </si>
  <si>
    <t>Instaliranje industrijskih strojeva i ...</t>
  </si>
  <si>
    <t>3511</t>
  </si>
  <si>
    <t>Proizvodnja električne energije</t>
  </si>
  <si>
    <t>3512</t>
  </si>
  <si>
    <t>Prijenos električne energije</t>
  </si>
  <si>
    <t>3513</t>
  </si>
  <si>
    <t>Distribucija električne energije</t>
  </si>
  <si>
    <t>3514</t>
  </si>
  <si>
    <t>Trgovina električnom energijom</t>
  </si>
  <si>
    <t>3521</t>
  </si>
  <si>
    <t>Proizvodnja plina</t>
  </si>
  <si>
    <t>3522</t>
  </si>
  <si>
    <t>Distribucija plinovitih goriva distrib...</t>
  </si>
  <si>
    <t>3523</t>
  </si>
  <si>
    <t>Trgovina plinom distribucijskom mrežom</t>
  </si>
  <si>
    <t>3530</t>
  </si>
  <si>
    <t>Opskrba parom i klimatizacija</t>
  </si>
  <si>
    <t>3600</t>
  </si>
  <si>
    <t>Skupljanje, pročišćavanje i opskrba vo...</t>
  </si>
  <si>
    <t>3700</t>
  </si>
  <si>
    <t>Uklanjanje otpadnih voda</t>
  </si>
  <si>
    <t>3811</t>
  </si>
  <si>
    <t>Skupljanje neopasnog otpada</t>
  </si>
  <si>
    <t>3812</t>
  </si>
  <si>
    <t>Skupljanje opasnog otpada</t>
  </si>
  <si>
    <t>3821</t>
  </si>
  <si>
    <t>Obrada i zbrinjavanje neopasnog otpada</t>
  </si>
  <si>
    <t>3822</t>
  </si>
  <si>
    <t>Obrada i zbrinjavanje opasnog otpada</t>
  </si>
  <si>
    <t>3831</t>
  </si>
  <si>
    <t>Rastavljanje olupina</t>
  </si>
  <si>
    <t>3832</t>
  </si>
  <si>
    <t>Oporaba posebno izdvojenih materijala</t>
  </si>
  <si>
    <t>3900</t>
  </si>
  <si>
    <t>Djelatnosti sanacije okoliša te ostale...</t>
  </si>
  <si>
    <t>4110</t>
  </si>
  <si>
    <t>Organizacija izvedbe projekata za zgrade</t>
  </si>
  <si>
    <t>4120</t>
  </si>
  <si>
    <t>Gradnja stambenih i nestambenih zgrada</t>
  </si>
  <si>
    <t>4211</t>
  </si>
  <si>
    <t>Gradnja cesta i autocesta</t>
  </si>
  <si>
    <t>4212</t>
  </si>
  <si>
    <t>Gradnja željezničkih pruga i podzemnih...</t>
  </si>
  <si>
    <t>4213</t>
  </si>
  <si>
    <t>Gradnja mostova i tunela</t>
  </si>
  <si>
    <t>4221</t>
  </si>
  <si>
    <t>Gradnja cjevovoda za tekućine i plinove</t>
  </si>
  <si>
    <t>4222</t>
  </si>
  <si>
    <t>Gradnja vodova za električnu struju i ...</t>
  </si>
  <si>
    <t>4291</t>
  </si>
  <si>
    <t>Gradnja vodnih građevina</t>
  </si>
  <si>
    <t>4299</t>
  </si>
  <si>
    <t>Gradnja ostalih građevina niskogradnje...</t>
  </si>
  <si>
    <t>4311</t>
  </si>
  <si>
    <t>Uklanjanje građevina</t>
  </si>
  <si>
    <t>4312</t>
  </si>
  <si>
    <t>Pripremni radovi na gradilištu</t>
  </si>
  <si>
    <t>4313</t>
  </si>
  <si>
    <t>Pokusno bušenje i sondiranje terena za...</t>
  </si>
  <si>
    <t>4321</t>
  </si>
  <si>
    <t>Elektroinstalacijski radovi</t>
  </si>
  <si>
    <t>4322</t>
  </si>
  <si>
    <t>Uvođenje instalacija vodovoda, kanaliz...</t>
  </si>
  <si>
    <t>4329</t>
  </si>
  <si>
    <t>Ostali građevinski instalacijski radovi</t>
  </si>
  <si>
    <t>4331</t>
  </si>
  <si>
    <t>Fasadni i štukaturski radovi</t>
  </si>
  <si>
    <t>4332</t>
  </si>
  <si>
    <t>Ugradnja stolarije</t>
  </si>
  <si>
    <t>4333</t>
  </si>
  <si>
    <t>Postavljanje podnih i zidnih obloga</t>
  </si>
  <si>
    <t>4334</t>
  </si>
  <si>
    <t>Soboslikarski i staklarski radovi</t>
  </si>
  <si>
    <t>4339</t>
  </si>
  <si>
    <t>Ostali završni građevinski radovi</t>
  </si>
  <si>
    <t>4391</t>
  </si>
  <si>
    <t>Radovi na krovištu</t>
  </si>
  <si>
    <t>4399</t>
  </si>
  <si>
    <t>Ostale specijalizirane građevinske dje...</t>
  </si>
  <si>
    <t>4511</t>
  </si>
  <si>
    <t>Trgovina automobilima i motornim vozil...</t>
  </si>
  <si>
    <t>4519</t>
  </si>
  <si>
    <t>Trgovina ostalim motornim vozilima</t>
  </si>
  <si>
    <t>4520</t>
  </si>
  <si>
    <t>Održavanje i popravak motornih vozila</t>
  </si>
  <si>
    <t>4531</t>
  </si>
  <si>
    <t>Trgovina na veliko dijelovima i pribor...</t>
  </si>
  <si>
    <t>4532</t>
  </si>
  <si>
    <t>Trgovina na malo dijelovima i priborom...</t>
  </si>
  <si>
    <t>4540</t>
  </si>
  <si>
    <t>Trgovina motociklima, dijelovima i pri...</t>
  </si>
  <si>
    <t>4611</t>
  </si>
  <si>
    <t>Posredovanje u trgovini poljoprivredni...</t>
  </si>
  <si>
    <t>4612</t>
  </si>
  <si>
    <t>Posredovanje u trgovini gorivima, ruda...</t>
  </si>
  <si>
    <t>4613</t>
  </si>
  <si>
    <t>Posredovanje u trgovini drvom i građev...</t>
  </si>
  <si>
    <t>4614</t>
  </si>
  <si>
    <t>Posredovanje u trgovini strojevima, in...</t>
  </si>
  <si>
    <t>4615</t>
  </si>
  <si>
    <t>Posredovanje u trgovini namještajem, p...</t>
  </si>
  <si>
    <t>4616</t>
  </si>
  <si>
    <t>Posredovanje u trgovini tekstilom, odj...</t>
  </si>
  <si>
    <t>4617</t>
  </si>
  <si>
    <t>Posredovanje u trgovini hranom, pićima...</t>
  </si>
  <si>
    <t>4618</t>
  </si>
  <si>
    <t>Posredovanje u trgovini specijaliziran...</t>
  </si>
  <si>
    <t>4619</t>
  </si>
  <si>
    <t>Posredovanje u trgovini raznovrsnim pr...</t>
  </si>
  <si>
    <t>4621</t>
  </si>
  <si>
    <t>Trgovina na veliko žitaricama, sirovim...</t>
  </si>
  <si>
    <t>4622</t>
  </si>
  <si>
    <t>Trgovina na veliko cvijećem i sadnicama</t>
  </si>
  <si>
    <t>4623</t>
  </si>
  <si>
    <t>Trgovina na veliko živom stokom</t>
  </si>
  <si>
    <t>4624</t>
  </si>
  <si>
    <t>Trgovina na veliko sirovim i štavljeni...</t>
  </si>
  <si>
    <t>4631</t>
  </si>
  <si>
    <t>Trgovina na veliko voćem i povrćem</t>
  </si>
  <si>
    <t>4632</t>
  </si>
  <si>
    <t>Trgovina na veliko mesom i mesnim proi...</t>
  </si>
  <si>
    <t>4633</t>
  </si>
  <si>
    <t>Trgovina na veliko mlijekom, mliječnim...</t>
  </si>
  <si>
    <t>4634</t>
  </si>
  <si>
    <t>Trgovina na veliko pićima</t>
  </si>
  <si>
    <t>4635</t>
  </si>
  <si>
    <t>Trgovina na veliko duhanskim proizvodima</t>
  </si>
  <si>
    <t>4636</t>
  </si>
  <si>
    <t>Trgovina na veliko šećerom, čokoladom ...</t>
  </si>
  <si>
    <t>4637</t>
  </si>
  <si>
    <t>Trgovina na veliko kavom, čajem, kakao...</t>
  </si>
  <si>
    <t>4638</t>
  </si>
  <si>
    <t>Trgovina na veliko ostalom hranom uklj...</t>
  </si>
  <si>
    <t>4639</t>
  </si>
  <si>
    <t>Nespecijalizirana trgovina na veliko h...</t>
  </si>
  <si>
    <t>4641</t>
  </si>
  <si>
    <t>Trgovina na veliko tekstilom</t>
  </si>
  <si>
    <t>4642</t>
  </si>
  <si>
    <t>Trgovina na veliko odjećom i obućom</t>
  </si>
  <si>
    <t>4643</t>
  </si>
  <si>
    <t>Trgovina na veliko električnim aparati...</t>
  </si>
  <si>
    <t>4644</t>
  </si>
  <si>
    <t>Trgovina na veliko porculanom, staklom...</t>
  </si>
  <si>
    <t>4645</t>
  </si>
  <si>
    <t>Trgovina na veliko parfemima i kozmeti...</t>
  </si>
  <si>
    <t>4646</t>
  </si>
  <si>
    <t>Trgovina na veliko farmaceutskim proiz...</t>
  </si>
  <si>
    <t>4647</t>
  </si>
  <si>
    <t>Trgovina na veliko namještajem, sagovi...</t>
  </si>
  <si>
    <t>4648</t>
  </si>
  <si>
    <t>Trgovina na veliko satovima i nakitom</t>
  </si>
  <si>
    <t>4649</t>
  </si>
  <si>
    <t>Trgovina na veliko ostalim proizvodima...</t>
  </si>
  <si>
    <t>4651</t>
  </si>
  <si>
    <t>Trgovina na veliko računalima, perifer...</t>
  </si>
  <si>
    <t>4652</t>
  </si>
  <si>
    <t>Trgovina na veliko elektroničkim i tel...</t>
  </si>
  <si>
    <t>4661</t>
  </si>
  <si>
    <t>Trgovina na veliko poljoprivrednim str...</t>
  </si>
  <si>
    <t>4662</t>
  </si>
  <si>
    <t>Trgovina na veliko alatnim strojevima</t>
  </si>
  <si>
    <t>4663</t>
  </si>
  <si>
    <t>Trgovina na veliko strojevima za rudni...</t>
  </si>
  <si>
    <t>4664</t>
  </si>
  <si>
    <t>Trgovina na veliko strojevima za tekst...</t>
  </si>
  <si>
    <t>4665</t>
  </si>
  <si>
    <t>Trgovina na veliko uredskim namještajem</t>
  </si>
  <si>
    <t>4666</t>
  </si>
  <si>
    <t>Trgovina na veliko ostalim uredskim st...</t>
  </si>
  <si>
    <t>4669</t>
  </si>
  <si>
    <t>Trgovina na veliko ostalim strojevima ...</t>
  </si>
  <si>
    <t>4671</t>
  </si>
  <si>
    <t>Trgovina na veliko krutim, tekućim i p...</t>
  </si>
  <si>
    <t>4672</t>
  </si>
  <si>
    <t>Trgovina na veliko metalima i metalnim...</t>
  </si>
  <si>
    <t>4673</t>
  </si>
  <si>
    <t>Trgovina na veliko drvom, građevinskim...</t>
  </si>
  <si>
    <t>4674</t>
  </si>
  <si>
    <t>Trgovina na veliko željeznom robom, in...</t>
  </si>
  <si>
    <t>4675</t>
  </si>
  <si>
    <t>Trgovina na veliko kemijskim proizvodima</t>
  </si>
  <si>
    <t>4676</t>
  </si>
  <si>
    <t>Trgovina na veliko ostalim poluproizvo...</t>
  </si>
  <si>
    <t>4677</t>
  </si>
  <si>
    <t>Trgovina na veliko ostacima i otpacima</t>
  </si>
  <si>
    <t>4690</t>
  </si>
  <si>
    <t xml:space="preserve">Nespecijalizirana trgovina na veliko </t>
  </si>
  <si>
    <t>4711</t>
  </si>
  <si>
    <t>Trgovina na malo u nespecijaliziranim ...</t>
  </si>
  <si>
    <t>4719</t>
  </si>
  <si>
    <t>Ostala trgovina na malo u nespecijaliz...</t>
  </si>
  <si>
    <t>4721</t>
  </si>
  <si>
    <t>Trgovina na malo voćem i povrćem u spe...</t>
  </si>
  <si>
    <t>4722</t>
  </si>
  <si>
    <t>Trgovina na malo mesom i mesnim proizv...</t>
  </si>
  <si>
    <t>4723</t>
  </si>
  <si>
    <t>Trgovina na malo ribama, rakovima i šk...</t>
  </si>
  <si>
    <t>4724</t>
  </si>
  <si>
    <t>Trgovina na malo kruhom, pecivom, kola...</t>
  </si>
  <si>
    <t>4725</t>
  </si>
  <si>
    <t>Trgovina na malo pićima u specijalizir...</t>
  </si>
  <si>
    <t>4726</t>
  </si>
  <si>
    <t>Trgovina na malo duhanskim proizvodima...</t>
  </si>
  <si>
    <t>4729</t>
  </si>
  <si>
    <t>Ostala trgovina na malo prehrambenim p...</t>
  </si>
  <si>
    <t>4730</t>
  </si>
  <si>
    <t>Trgovina na malo motornim gorivima i m...</t>
  </si>
  <si>
    <t>4741</t>
  </si>
  <si>
    <t>Trgovina na malo računalima, periferni...</t>
  </si>
  <si>
    <t>4742</t>
  </si>
  <si>
    <t>Trgovina na malo telekomunikacijskom o...</t>
  </si>
  <si>
    <t>4743</t>
  </si>
  <si>
    <t>Trgovina na malo audio i videoopremom ...</t>
  </si>
  <si>
    <t>4751</t>
  </si>
  <si>
    <t>Trgovina na malo tekstilom u specijali...</t>
  </si>
  <si>
    <t>4752</t>
  </si>
  <si>
    <t>Trgovina na malo željeznom robom, boja...</t>
  </si>
  <si>
    <t>4753</t>
  </si>
  <si>
    <t>Trgovina na malo sagovima i prostirači...</t>
  </si>
  <si>
    <t>4754</t>
  </si>
  <si>
    <t>Trgovina na malo električnim aparatima...</t>
  </si>
  <si>
    <t>4759</t>
  </si>
  <si>
    <t>Trgovina na malo namještajem, opremom ...</t>
  </si>
  <si>
    <t>4761</t>
  </si>
  <si>
    <t>Trgovina na malo knjigama u specijaliz...</t>
  </si>
  <si>
    <t>4762</t>
  </si>
  <si>
    <t>Trgovina na malo novinama, papirnatom ...</t>
  </si>
  <si>
    <t>4763</t>
  </si>
  <si>
    <t>Trgovina na malo glazbenim i videozapi...</t>
  </si>
  <si>
    <t>4764</t>
  </si>
  <si>
    <t>Trgovina na malo sportskom opremom u s...</t>
  </si>
  <si>
    <t>4765</t>
  </si>
  <si>
    <t>Trgovina na malo igrama i igračkama u ...</t>
  </si>
  <si>
    <t>4771</t>
  </si>
  <si>
    <t>Trgovina na malo odjećom u specijalizi...</t>
  </si>
  <si>
    <t>4772</t>
  </si>
  <si>
    <t>Trgovina na malo obućom i proizvodima ...</t>
  </si>
  <si>
    <t>4773</t>
  </si>
  <si>
    <t xml:space="preserve">Ljekarne </t>
  </si>
  <si>
    <t>4774</t>
  </si>
  <si>
    <t>Trgovina na malo medicinskim pripravci...</t>
  </si>
  <si>
    <t>4775</t>
  </si>
  <si>
    <t>Trgovina na malo kozmetičkim i toaletn...</t>
  </si>
  <si>
    <t>4776</t>
  </si>
  <si>
    <t>Trgovina na malo cvijećem, sadnicama, ...</t>
  </si>
  <si>
    <t>4777</t>
  </si>
  <si>
    <t>Trgovina na malo satovima i nakitom u ...</t>
  </si>
  <si>
    <t>4778</t>
  </si>
  <si>
    <t>Ostala trgovina na malo novom robom u ...</t>
  </si>
  <si>
    <t>4779</t>
  </si>
  <si>
    <t>Trgovina na malo rabljenom robom u spe...</t>
  </si>
  <si>
    <t>4781</t>
  </si>
  <si>
    <t>Trgovina na malo hranom, pićima i duha...</t>
  </si>
  <si>
    <t>4782</t>
  </si>
  <si>
    <t>Trgovina na malo tekstilom, odjećom i ...</t>
  </si>
  <si>
    <t>4789</t>
  </si>
  <si>
    <t>Trgovina na malo ostalom robom na štan...</t>
  </si>
  <si>
    <t>4791</t>
  </si>
  <si>
    <t>Trgovina na malo preko pošte ili inter...</t>
  </si>
  <si>
    <t>4799</t>
  </si>
  <si>
    <t>Ostala trgovina na malo izvan prodavao...</t>
  </si>
  <si>
    <t>4910</t>
  </si>
  <si>
    <t>Željeznički prijevoz putnika, međugrad...</t>
  </si>
  <si>
    <t>4920</t>
  </si>
  <si>
    <t>Željeznički prijevoz robe</t>
  </si>
  <si>
    <t>4931</t>
  </si>
  <si>
    <t>Gradski i prigradski kopneni prijevoz ...</t>
  </si>
  <si>
    <t>4932</t>
  </si>
  <si>
    <t>Taksi služba</t>
  </si>
  <si>
    <t>4939</t>
  </si>
  <si>
    <t>Ostali kopneni prijevoz putnika, d. n.</t>
  </si>
  <si>
    <t>4941</t>
  </si>
  <si>
    <t>Cestovni prijevoz robe</t>
  </si>
  <si>
    <t>4942</t>
  </si>
  <si>
    <t>Usluge preseljenja</t>
  </si>
  <si>
    <t>4950</t>
  </si>
  <si>
    <t>Cjevovodni transport</t>
  </si>
  <si>
    <t>5010</t>
  </si>
  <si>
    <t>Pomorski i obalni prijevoz putnika</t>
  </si>
  <si>
    <t>5020</t>
  </si>
  <si>
    <t>Pomorski i obalni prijevoz robe</t>
  </si>
  <si>
    <t>5030</t>
  </si>
  <si>
    <t>Prijevoz putnika unutrašnjim vodenim p...</t>
  </si>
  <si>
    <t>5040</t>
  </si>
  <si>
    <t>Prijevoz robe unutrašnjim vodenim puto...</t>
  </si>
  <si>
    <t>5110</t>
  </si>
  <si>
    <t>Zračni prijevoz putnika</t>
  </si>
  <si>
    <t>5121</t>
  </si>
  <si>
    <t>Zračni prijevoz robe</t>
  </si>
  <si>
    <t>5122</t>
  </si>
  <si>
    <t>Svemirski prijevoz</t>
  </si>
  <si>
    <t>5210</t>
  </si>
  <si>
    <t>Skladištenje robe</t>
  </si>
  <si>
    <t>5221</t>
  </si>
  <si>
    <t>Uslužne djelatnosti u vezi s kopnenim ...</t>
  </si>
  <si>
    <t>5222</t>
  </si>
  <si>
    <t>Uslužne djelatnosti u vezi s vodenim p...</t>
  </si>
  <si>
    <t>5223</t>
  </si>
  <si>
    <t>Uslužne djelatnosti u vezi sa zračnim ...</t>
  </si>
  <si>
    <t>5224</t>
  </si>
  <si>
    <t>Prekrcaj tereta</t>
  </si>
  <si>
    <t>5229</t>
  </si>
  <si>
    <t>Ostale prateće djelatnosti u prijevozu</t>
  </si>
  <si>
    <t>5310</t>
  </si>
  <si>
    <t>Djelatnosti pružanja univerzalnih pošt...</t>
  </si>
  <si>
    <t>5320</t>
  </si>
  <si>
    <t>Djelatnosti pružanja ostalih poštanski...</t>
  </si>
  <si>
    <t>5510</t>
  </si>
  <si>
    <t>Hoteli i sličan smještaj</t>
  </si>
  <si>
    <t>5520</t>
  </si>
  <si>
    <t>Odmarališta i slični objekti za kraći ...</t>
  </si>
  <si>
    <t>5530</t>
  </si>
  <si>
    <t>Kampovi i prostori za kampiranje</t>
  </si>
  <si>
    <t>5590</t>
  </si>
  <si>
    <t>Ostali smještaj</t>
  </si>
  <si>
    <t>5610</t>
  </si>
  <si>
    <t>Djelatnosti restorana i ostalih objeka...</t>
  </si>
  <si>
    <t>5621</t>
  </si>
  <si>
    <t>Djelatnosti keteringa</t>
  </si>
  <si>
    <t>5629</t>
  </si>
  <si>
    <t>Ostale djelatnosti pripreme i usluživa...</t>
  </si>
  <si>
    <t>5630</t>
  </si>
  <si>
    <t>Djelatnosti pripreme i usluživanja pića</t>
  </si>
  <si>
    <t>5811</t>
  </si>
  <si>
    <t>Izdavanje knjiga</t>
  </si>
  <si>
    <t>5812</t>
  </si>
  <si>
    <t>Izdavanje imenika i popisa korisničkih...</t>
  </si>
  <si>
    <t>5813</t>
  </si>
  <si>
    <t>Izdavanje novina</t>
  </si>
  <si>
    <t>5814</t>
  </si>
  <si>
    <t>Izdavanje časopisa i periodičnih publi...</t>
  </si>
  <si>
    <t>5819</t>
  </si>
  <si>
    <t>Ostala izdavačka djelatnost</t>
  </si>
  <si>
    <t>5821</t>
  </si>
  <si>
    <t>Izdavanje računalnih igara</t>
  </si>
  <si>
    <t>5829</t>
  </si>
  <si>
    <t>Izdavanje ostalog softvera</t>
  </si>
  <si>
    <t>5911</t>
  </si>
  <si>
    <t>Proizvodnja filmova, videofilmova i te...</t>
  </si>
  <si>
    <t>5912</t>
  </si>
  <si>
    <t>Djelatnosti koje slijede nakon proizvo...</t>
  </si>
  <si>
    <t>5913</t>
  </si>
  <si>
    <t>Distribucija filmova, videofilmova i t...</t>
  </si>
  <si>
    <t>5914</t>
  </si>
  <si>
    <t>Djelatnosti prikazivanja filmova</t>
  </si>
  <si>
    <t>5920</t>
  </si>
  <si>
    <t>Djelatnosti snimanja zvučnih zapisa i ...</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</si>
  <si>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</si>
  <si>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</si>
  <si>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</si>
  <si>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</si>
  <si>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</si>
  <si>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</si>
  <si>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</si>
  <si>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</si>
  <si>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</si>
  <si>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</si>
  <si>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</si>
  <si>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Ostale telekomunikacijske djelatnosti</t>
  </si>
  <si>
    <t>6201</t>
  </si>
  <si>
    <t>Računalno programiranje</t>
  </si>
  <si>
    <t>6202</t>
  </si>
  <si>
    <t>Savjetovanje u vezi s računalima</t>
  </si>
  <si>
    <t>6203</t>
  </si>
  <si>
    <t>Upravljanje računalnom opremom i susta...</t>
  </si>
  <si>
    <t>6209</t>
  </si>
  <si>
    <t>Ostale uslužne djelatnosti u vezi s in...</t>
  </si>
  <si>
    <t>6311</t>
  </si>
  <si>
    <t>Obrada podataka, usluge poslužitelja i...</t>
  </si>
  <si>
    <t>6312</t>
  </si>
  <si>
    <t>Internetski portali</t>
  </si>
  <si>
    <t>6391</t>
  </si>
  <si>
    <t>Djelatnosti novinskih agencija</t>
  </si>
  <si>
    <t>6399</t>
  </si>
  <si>
    <t>Ostale informacijske uslužne djelatnos...</t>
  </si>
  <si>
    <t>6411</t>
  </si>
  <si>
    <t>Središnje bankarstvo</t>
  </si>
  <si>
    <t>6419</t>
  </si>
  <si>
    <t>Ostalo novčarsko posredovanje</t>
  </si>
  <si>
    <t>6420</t>
  </si>
  <si>
    <t>Djelatnosti holding-društava</t>
  </si>
  <si>
    <t>6430</t>
  </si>
  <si>
    <t>Uzajamni fondovi (trustovi), ostali fo...</t>
  </si>
  <si>
    <t>6491</t>
  </si>
  <si>
    <t>Financijski leasing</t>
  </si>
  <si>
    <t>6492</t>
  </si>
  <si>
    <t>Ostalo kreditno posredovanje</t>
  </si>
  <si>
    <t>6499</t>
  </si>
  <si>
    <t>Ostale financijske uslužne djelatnosti...</t>
  </si>
  <si>
    <t>6511</t>
  </si>
  <si>
    <t>Životno osiguranje</t>
  </si>
  <si>
    <t>6512</t>
  </si>
  <si>
    <t>Ostalo osiguranje</t>
  </si>
  <si>
    <t>6520</t>
  </si>
  <si>
    <t>Reosiguranje</t>
  </si>
  <si>
    <t>6530</t>
  </si>
  <si>
    <t>Mirovinski fondovi</t>
  </si>
  <si>
    <t>6611</t>
  </si>
  <si>
    <t>Poslovanje financijskih tržišta</t>
  </si>
  <si>
    <t>6612</t>
  </si>
  <si>
    <t>Djelatnosti posredovanja u poslovanju ...</t>
  </si>
  <si>
    <t>6619</t>
  </si>
  <si>
    <t>Ostale pomoćne djelatnosti kod financi...</t>
  </si>
  <si>
    <t>6621</t>
  </si>
  <si>
    <t>Procjena rizika i štete</t>
  </si>
  <si>
    <t>6622</t>
  </si>
  <si>
    <t>Djelatnosti agenata i posrednika osigu...</t>
  </si>
  <si>
    <t>6629</t>
  </si>
  <si>
    <t>Ostale pomoćne djelatnosti u osiguranj...</t>
  </si>
  <si>
    <t>6630</t>
  </si>
  <si>
    <t>Djelatnosti upravljanja fondovima</t>
  </si>
  <si>
    <t>6810</t>
  </si>
  <si>
    <t>Kupnja i prodaja vlastitih nekretnina</t>
  </si>
  <si>
    <t>6820</t>
  </si>
  <si>
    <t>Iznajmljivanje i upravljanje vlastitim...</t>
  </si>
  <si>
    <t>6831</t>
  </si>
  <si>
    <t>Agencije za poslovanje nekretninama</t>
  </si>
  <si>
    <t>6832</t>
  </si>
  <si>
    <t>Upravljanje nekretninama uz naplatu il...</t>
  </si>
  <si>
    <t>6910</t>
  </si>
  <si>
    <t>Pravne djelatnosti</t>
  </si>
  <si>
    <t>6920</t>
  </si>
  <si>
    <t>Računovodstvene, knjigovodstvene i rev...</t>
  </si>
  <si>
    <t>7010</t>
  </si>
  <si>
    <t>Upravljačke djelatnosti</t>
  </si>
  <si>
    <t>7021</t>
  </si>
  <si>
    <t>Odnosi s javnošću i djelatnosti priopć...</t>
  </si>
  <si>
    <t>7022</t>
  </si>
  <si>
    <t>Savjetovanje u vezi s poslovanjem i os...</t>
  </si>
  <si>
    <t>7111</t>
  </si>
  <si>
    <t>Arhitektonske djelatnosti</t>
  </si>
  <si>
    <t>7112</t>
  </si>
  <si>
    <t>Inženjerstvo i s njim povezano tehničk...</t>
  </si>
  <si>
    <t>7120</t>
  </si>
  <si>
    <t>Tehničko ispitivanje i analiza</t>
  </si>
  <si>
    <t>7211</t>
  </si>
  <si>
    <t>Istraživanje i eksperimentalni razvoj ...</t>
  </si>
  <si>
    <t>7219</t>
  </si>
  <si>
    <t>Ostalo istraživanje i eksperimentalni ...</t>
  </si>
  <si>
    <t>7220</t>
  </si>
  <si>
    <t>7311</t>
  </si>
  <si>
    <t>Agencije za promidžbu (reklamu i propa...</t>
  </si>
  <si>
    <t>7312</t>
  </si>
  <si>
    <t>Oglašavanje preko medija</t>
  </si>
  <si>
    <t>7320</t>
  </si>
  <si>
    <t>Istraživanje tržišta i ispitivanje jav...</t>
  </si>
  <si>
    <t>7410</t>
  </si>
  <si>
    <t>Specijalizirane dizajnerske djelatnosti</t>
  </si>
  <si>
    <t>7420</t>
  </si>
  <si>
    <t>Fotografske djelatnosti</t>
  </si>
  <si>
    <t>7430</t>
  </si>
  <si>
    <t>Prevoditeljske djelatnosti i usluge tu...</t>
  </si>
  <si>
    <t>7490</t>
  </si>
  <si>
    <t>Ostale stručne, znanstvene i tehničke ...</t>
  </si>
  <si>
    <t>7500</t>
  </si>
  <si>
    <t>Veterinarske djelatnosti</t>
  </si>
  <si>
    <t>7711</t>
  </si>
  <si>
    <t>Iznajmljivanje i davanje u zakup (leas...</t>
  </si>
  <si>
    <t>7712</t>
  </si>
  <si>
    <t>7721</t>
  </si>
  <si>
    <t>Iznajmljivanje i davanje u zakup (lea­...</t>
  </si>
  <si>
    <t>7722</t>
  </si>
  <si>
    <t>Iznajmljivanje videokaseta i diskova</t>
  </si>
  <si>
    <t>7729</t>
  </si>
  <si>
    <t>7731</t>
  </si>
  <si>
    <t>7732</t>
  </si>
  <si>
    <t>7733</t>
  </si>
  <si>
    <t>7734</t>
  </si>
  <si>
    <t>7735</t>
  </si>
  <si>
    <t>7739</t>
  </si>
  <si>
    <t>7740</t>
  </si>
  <si>
    <t>Davanje u zakup (leasing) prava na upo...</t>
  </si>
  <si>
    <t>7810</t>
  </si>
  <si>
    <t>Djelatnosti agencija za zapošljavanje</t>
  </si>
  <si>
    <t>7820</t>
  </si>
  <si>
    <t>Djelatnosti agencija za privremeno zap...</t>
  </si>
  <si>
    <t>7830</t>
  </si>
  <si>
    <t>Ostalo ustupanje ljudskih resursa</t>
  </si>
  <si>
    <t>7911</t>
  </si>
  <si>
    <t>Djelatnosti putničkih agencija</t>
  </si>
  <si>
    <t>7912</t>
  </si>
  <si>
    <t>Djelatnosti organizatora putovanja (tu...</t>
  </si>
  <si>
    <t>7990</t>
  </si>
  <si>
    <t>Ostale rezervacijske usluge i djelatno...</t>
  </si>
  <si>
    <t>8010</t>
  </si>
  <si>
    <t>Djelatnosti privatne zaštite</t>
  </si>
  <si>
    <t>8020</t>
  </si>
  <si>
    <t>Usluge zaštite uz pomoć sigurnosnih su...</t>
  </si>
  <si>
    <t>8030</t>
  </si>
  <si>
    <t>Istražne djelatnosti</t>
  </si>
  <si>
    <t>8110</t>
  </si>
  <si>
    <t>Upravljanje zgradama</t>
  </si>
  <si>
    <t>8121</t>
  </si>
  <si>
    <t>Osnovno čišćenje zgrada</t>
  </si>
  <si>
    <t>8122</t>
  </si>
  <si>
    <t>Ostale djelatnosti čišćenja zgrada i o...</t>
  </si>
  <si>
    <t>8129</t>
  </si>
  <si>
    <t>Ostale djelatnosti čišćenja</t>
  </si>
  <si>
    <t>8130</t>
  </si>
  <si>
    <t>Uslužne djelatnosti uređenja i održava...</t>
  </si>
  <si>
    <t>8211</t>
  </si>
  <si>
    <t>Kombinirane uredske administrativne us...</t>
  </si>
  <si>
    <t>8219</t>
  </si>
  <si>
    <t>Fotokopiranje, priprema dokumenata i o...</t>
  </si>
  <si>
    <t>8220</t>
  </si>
  <si>
    <t>Djelatnosti pozivnih centara</t>
  </si>
  <si>
    <t>8230</t>
  </si>
  <si>
    <t>Organizacija sastanaka i poslovnih saj...</t>
  </si>
  <si>
    <t>8291</t>
  </si>
  <si>
    <t>Djelatnosti agencija za prikupljanje i...</t>
  </si>
  <si>
    <t>8292</t>
  </si>
  <si>
    <t>Djelatnosti pakiranja</t>
  </si>
  <si>
    <t>8299</t>
  </si>
  <si>
    <t>Ostale poslovne pomoćne uslužne djelat...</t>
  </si>
  <si>
    <t>8411</t>
  </si>
  <si>
    <t>Opće djelatnosti javne uprave</t>
  </si>
  <si>
    <t>8412</t>
  </si>
  <si>
    <t>Reguliranje djelatnosti subjekata koji...</t>
  </si>
  <si>
    <t>8413</t>
  </si>
  <si>
    <t>Reguliranje i poboljšavanje poslovanja...</t>
  </si>
  <si>
    <t>8421</t>
  </si>
  <si>
    <t>Vanjski poslovi</t>
  </si>
  <si>
    <t>8422</t>
  </si>
  <si>
    <t>Poslovi obrane</t>
  </si>
  <si>
    <t>8423</t>
  </si>
  <si>
    <t>Sudske i pravosudne djelatnosti</t>
  </si>
  <si>
    <t>8424</t>
  </si>
  <si>
    <t>Poslovi javnog reda i sigurnosti</t>
  </si>
  <si>
    <t>8425</t>
  </si>
  <si>
    <t>Djelatnosti vatrogasne službe</t>
  </si>
  <si>
    <t>8430</t>
  </si>
  <si>
    <t>Djelatnosti obveznoga socijalnog osigu...</t>
  </si>
  <si>
    <t>8510</t>
  </si>
  <si>
    <t>Predškolsko obrazovanje</t>
  </si>
  <si>
    <t>8520</t>
  </si>
  <si>
    <t>Osnovno obrazovanje</t>
  </si>
  <si>
    <t>8531</t>
  </si>
  <si>
    <t>Opće srednje obrazovanje</t>
  </si>
  <si>
    <t>8532</t>
  </si>
  <si>
    <t>Tehničko i strukovno srednje obrazovanje</t>
  </si>
  <si>
    <t>8541</t>
  </si>
  <si>
    <t>Obrazovanje nakon srednjeg koje nije v...</t>
  </si>
  <si>
    <t>8542</t>
  </si>
  <si>
    <t xml:space="preserve">Visoko obrazovanje </t>
  </si>
  <si>
    <t>8551</t>
  </si>
  <si>
    <t>Obrazovanje i poučavanje u području sp...</t>
  </si>
  <si>
    <t>8552</t>
  </si>
  <si>
    <t>Obrazovanje i poučavanje u području ku...</t>
  </si>
  <si>
    <t>8553</t>
  </si>
  <si>
    <t>Djelatnosti vozačkih škola</t>
  </si>
  <si>
    <t>8559</t>
  </si>
  <si>
    <t>Ostalo obrazovanje i poučavanje, d. n.</t>
  </si>
  <si>
    <t>8560</t>
  </si>
  <si>
    <t>Pomoćne uslužne djelatnosti u obrazova...</t>
  </si>
  <si>
    <t>8610</t>
  </si>
  <si>
    <t>Djelatnosti bolnica</t>
  </si>
  <si>
    <t>8621</t>
  </si>
  <si>
    <t>Djelatnosti opće medicinske prakse</t>
  </si>
  <si>
    <t>8622</t>
  </si>
  <si>
    <t>Djelatnosti specijalističke medicinske...</t>
  </si>
  <si>
    <t>8623</t>
  </si>
  <si>
    <t>Djelatnosti stomatološke prakse</t>
  </si>
  <si>
    <t>8690</t>
  </si>
  <si>
    <t>Ostale djelatnosti zdravstvene zaštite</t>
  </si>
  <si>
    <t>8710</t>
  </si>
  <si>
    <t>Djelatnosti ustanova za njegu</t>
  </si>
  <si>
    <t>8720</t>
  </si>
  <si>
    <t>Djelatnosti socijalne skrbi sa smješta...</t>
  </si>
  <si>
    <t>8730</t>
  </si>
  <si>
    <t>8790</t>
  </si>
  <si>
    <t>Ostale djelatnosti socijalne skrbi sa ...</t>
  </si>
  <si>
    <t>8810</t>
  </si>
  <si>
    <t>Djelatnosti socijalne skrbi bez smješt...</t>
  </si>
  <si>
    <t>8891</t>
  </si>
  <si>
    <t>Djelatnosti dnevne skrbi o djeci</t>
  </si>
  <si>
    <t>8899</t>
  </si>
  <si>
    <t>Ostale djelatnosti socijalne skrbi bez...</t>
  </si>
  <si>
    <t>9001</t>
  </si>
  <si>
    <t>Izvođačka umjetnost</t>
  </si>
  <si>
    <t>9002</t>
  </si>
  <si>
    <t>Pomoćne djelatnosti u izvođačkoj umjet...</t>
  </si>
  <si>
    <t>9003</t>
  </si>
  <si>
    <t>Umjetničko stvaralaštvo</t>
  </si>
  <si>
    <t>9004</t>
  </si>
  <si>
    <t>Rad umjetničkih objekata</t>
  </si>
  <si>
    <t>9101</t>
  </si>
  <si>
    <t>Djelatnosti knjižnica i arhiva</t>
  </si>
  <si>
    <t>9102</t>
  </si>
  <si>
    <t>Djelatnosti muzeja</t>
  </si>
  <si>
    <t>9103</t>
  </si>
  <si>
    <t>Rad povijesnih mjesta i građevina te s...</t>
  </si>
  <si>
    <t>9104</t>
  </si>
  <si>
    <t>Djelatnosti botaničkih i zooloških vrt...</t>
  </si>
  <si>
    <t>9200</t>
  </si>
  <si>
    <t>Djelatnosti kockanja i klađenja</t>
  </si>
  <si>
    <t>9311</t>
  </si>
  <si>
    <t>Rad sportskih objekata</t>
  </si>
  <si>
    <t>9312</t>
  </si>
  <si>
    <t>Djelatnosti sportskih klubova</t>
  </si>
  <si>
    <t>9313</t>
  </si>
  <si>
    <t>Fitnes centri</t>
  </si>
  <si>
    <t>9319</t>
  </si>
  <si>
    <t>Ostale sportske djelatnosti</t>
  </si>
  <si>
    <t>9321</t>
  </si>
  <si>
    <t>Djelatnosti zabavnih i tematskih parkova</t>
  </si>
  <si>
    <t>9329</t>
  </si>
  <si>
    <t>Ostale zabavne i rekreacijske djelatno...</t>
  </si>
  <si>
    <t>9411</t>
  </si>
  <si>
    <t>Djelatnosti poslovnih organizacija i o...</t>
  </si>
  <si>
    <t>9412</t>
  </si>
  <si>
    <t>Djelatnosti strukovnih članskih organi...</t>
  </si>
  <si>
    <t>9420</t>
  </si>
  <si>
    <t>Djelatnosti sindikata</t>
  </si>
  <si>
    <t>9491</t>
  </si>
  <si>
    <t>Djelatnosti vjerskih organizacija</t>
  </si>
  <si>
    <t>9492</t>
  </si>
  <si>
    <t>Djelatnosti političkih organizacija</t>
  </si>
  <si>
    <t>9499</t>
  </si>
  <si>
    <t>Djelatnosti ostalih članskih organizac...</t>
  </si>
  <si>
    <t>9511</t>
  </si>
  <si>
    <t>Popravak računala i periferne opreme</t>
  </si>
  <si>
    <t>9512</t>
  </si>
  <si>
    <t>Popravak komunikacijske opreme</t>
  </si>
  <si>
    <t>9521</t>
  </si>
  <si>
    <t>Popravak elektroničkih uređaja za širo...</t>
  </si>
  <si>
    <t>9522</t>
  </si>
  <si>
    <t>Popravak aparata za kućanstvo te oprem...</t>
  </si>
  <si>
    <t>9523</t>
  </si>
  <si>
    <t>Popravak obuće i proizvoda od kože</t>
  </si>
  <si>
    <t>9524</t>
  </si>
  <si>
    <t>Popravak namještaja i pokućstva</t>
  </si>
  <si>
    <t>9525</t>
  </si>
  <si>
    <t>Popravak satova i nakita</t>
  </si>
  <si>
    <t>9529</t>
  </si>
  <si>
    <t>Popravak ostalih predmeta za osobnu up...</t>
  </si>
  <si>
    <t>9601</t>
  </si>
  <si>
    <t>Pranje i kemijsko čišćenje tekstila i ...</t>
  </si>
  <si>
    <t>9602</t>
  </si>
  <si>
    <t>Frizerski saloni i saloni za uljepšava...</t>
  </si>
  <si>
    <t>9603</t>
  </si>
  <si>
    <t>Pogrebne i srodne djelatnosti</t>
  </si>
  <si>
    <t>9604</t>
  </si>
  <si>
    <t>Djelatnosti za njegu i održavanje tijela</t>
  </si>
  <si>
    <t>9609</t>
  </si>
  <si>
    <t>Ostale osobne uslužne djelatnosti, d. n.</t>
  </si>
  <si>
    <t>9700</t>
  </si>
  <si>
    <t>Djelatnosti kućanstava koja zapošljava...</t>
  </si>
  <si>
    <t>9810</t>
  </si>
  <si>
    <t>Djelatnosti privatnih kućanstava koja ...</t>
  </si>
  <si>
    <t>9820</t>
  </si>
  <si>
    <t>9900</t>
  </si>
  <si>
    <t>Djelatnosti izvanteritorijalnih organi...</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</si>
  <si>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</si>
  <si>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</si>
  <si>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</si>
  <si>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</si>
  <si>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</si>
  <si>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</si>
  <si>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</si>
  <si>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</si>
  <si>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</si>
  <si>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</si>
  <si>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</si>
  <si>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</si>
  <si>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</si>
  <si>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</si>
  <si>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</si>
  <si>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</si>
  <si>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</si>
  <si>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</si>
  <si>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</si>
  <si>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</si>
  <si>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</si>
  <si>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</si>
  <si>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</si>
  <si>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</si>
  <si>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</si>
  <si>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</si>
  <si>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Britanski Indijskooceanski Teritorij</t>
  </si>
  <si>
    <t>Solomonski Otoci</t>
  </si>
  <si>
    <t>Britanski Djevičanski Otoci</t>
  </si>
  <si>
    <t>Kosovo</t>
  </si>
  <si>
    <t>Brunej</t>
  </si>
  <si>
    <t>Bugarska</t>
  </si>
  <si>
    <t>Mijanmar</t>
  </si>
  <si>
    <t>Burundi</t>
  </si>
  <si>
    <t>Bjelorusija</t>
  </si>
  <si>
    <t>Kambodža</t>
  </si>
  <si>
    <t>Kamerun</t>
  </si>
  <si>
    <t>Kanada</t>
  </si>
  <si>
    <t>Zelenortska Republika</t>
  </si>
  <si>
    <t>Kajmanski Otoci</t>
  </si>
  <si>
    <t>Srednjoafrička Republika</t>
  </si>
  <si>
    <t>Šri Lanka</t>
  </si>
  <si>
    <t>Čad</t>
  </si>
  <si>
    <t>Čile</t>
  </si>
  <si>
    <t>Kina</t>
  </si>
  <si>
    <t>Tajvan, Kineska Provincija</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</si>
  <si>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</si>
  <si>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</si>
  <si>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</si>
  <si>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</si>
  <si>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</si>
  <si>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</si>
  <si>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</si>
  <si>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</si>
  <si>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</si>
  <si>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</si>
  <si>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</si>
  <si>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</si>
  <si>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</si>
  <si>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</si>
  <si>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</si>
  <si>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</si>
  <si>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</si>
  <si>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</si>
  <si>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</si>
  <si>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</si>
  <si>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</si>
  <si>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</si>
  <si>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</si>
  <si>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</si>
  <si>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</si>
  <si>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</si>
  <si>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</si>
  <si>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</si>
  <si>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</si>
  <si>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</si>
  <si>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</si>
  <si>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</si>
  <si>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</si>
  <si>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</si>
  <si>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</si>
  <si>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</si>
  <si>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</si>
  <si>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</si>
  <si>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</si>
  <si>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</si>
  <si>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</si>
  <si>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</si>
  <si>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</si>
  <si>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</si>
  <si>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</si>
  <si>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</si>
  <si>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</si>
  <si>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</si>
  <si>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</si>
  <si>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</si>
  <si>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</si>
  <si>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</si>
  <si>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</si>
  <si>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</si>
  <si>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</si>
  <si>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</si>
  <si>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</si>
  <si>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</si>
  <si>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</si>
  <si>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</si>
  <si>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</si>
  <si>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</si>
  <si>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</si>
  <si>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</si>
  <si>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</si>
  <si>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</si>
  <si>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</si>
  <si>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</si>
  <si>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</si>
  <si>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</si>
  <si>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</si>
  <si>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</si>
  <si>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</si>
  <si>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</si>
  <si>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</si>
  <si>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</si>
  <si>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</si>
  <si>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</si>
  <si>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</si>
  <si>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</si>
  <si>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Litva</t>
  </si>
  <si>
    <t>Luksemburg</t>
  </si>
  <si>
    <t>Makao</t>
  </si>
  <si>
    <t>Madagaskar</t>
  </si>
  <si>
    <t>Malavi</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</si>
  <si>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</si>
  <si>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</si>
  <si>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</si>
  <si>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</si>
  <si>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</si>
  <si>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</si>
  <si>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</si>
  <si>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</si>
  <si>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</si>
  <si>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</si>
  <si>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</si>
  <si>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</si>
  <si>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</si>
  <si>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</si>
  <si>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</si>
  <si>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</si>
  <si>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</si>
  <si>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</si>
  <si>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</si>
  <si>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</si>
  <si>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</si>
  <si>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</si>
  <si>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</si>
  <si>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</si>
  <si>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</si>
  <si>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</si>
  <si>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Novi Zeland</t>
  </si>
  <si>
    <t>Nikaragva</t>
  </si>
  <si>
    <t>Niger</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</si>
  <si>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</si>
  <si>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</si>
  <si>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</si>
  <si>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</si>
  <si>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</si>
  <si>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</si>
  <si>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</si>
  <si>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</si>
  <si>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</si>
  <si>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</si>
  <si>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</si>
  <si>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</si>
  <si>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</si>
  <si>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</si>
  <si>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</si>
  <si>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</si>
  <si>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</si>
  <si>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</si>
  <si>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</si>
  <si>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</si>
  <si>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</si>
  <si>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</si>
  <si>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</si>
  <si>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</si>
  <si>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</si>
  <si>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</si>
  <si>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</si>
  <si>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</si>
  <si>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</si>
  <si>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</si>
  <si>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</si>
  <si>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</si>
  <si>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</si>
  <si>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</si>
  <si>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</si>
  <si>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</si>
  <si>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</si>
  <si>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</si>
  <si>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</si>
  <si>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</si>
  <si>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</si>
  <si>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</si>
  <si>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</si>
  <si>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</si>
  <si>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</si>
  <si>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</si>
  <si>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</si>
  <si>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</si>
  <si>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</si>
  <si>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</si>
  <si>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</si>
  <si>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</si>
  <si>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</si>
  <si>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</si>
  <si>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</si>
  <si>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</si>
  <si>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</si>
  <si>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</si>
  <si>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</si>
  <si>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</si>
  <si>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</si>
  <si>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</si>
  <si>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</si>
  <si>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Trinidad i Tobago</t>
  </si>
  <si>
    <t>Ujedinjeni Arapski Emirati</t>
  </si>
  <si>
    <t>Tunis</t>
  </si>
  <si>
    <t>Turska</t>
  </si>
  <si>
    <t>Turkmenistan</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</si>
  <si>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</si>
  <si>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</si>
  <si>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</si>
  <si>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</si>
  <si>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</si>
  <si>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</si>
  <si>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</si>
  <si>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</si>
  <si>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</si>
  <si>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</si>
  <si>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</si>
  <si>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</si>
  <si>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</si>
  <si>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</si>
  <si>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</si>
  <si>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</si>
  <si>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</si>
  <si>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</si>
  <si>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</si>
  <si>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</si>
  <si>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</si>
  <si>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 ako je bilo koji AOP različit od nule 1 u suprotnom 0</t>
  </si>
  <si>
    <t>BILANCA</t>
  </si>
  <si>
    <t>Obrazac
AIF-BIL</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</si>
  <si>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</si>
  <si>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</si>
  <si>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</si>
  <si>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t>Naziv pozicije</t>
  </si>
  <si>
    <r>
      <t xml:space="preserve">AOP
</t>
    </r>
    <r>
      <rPr>
        <b/>
        <sz val="7"/>
        <color indexed="9"/>
        <rFont val="Arial"/>
        <family val="2"/>
        <charset val="238"/>
      </rPr>
      <t>oznaka</t>
    </r>
  </si>
  <si>
    <r>
      <t xml:space="preserve">Rbr. 
</t>
    </r>
    <r>
      <rPr>
        <b/>
        <sz val="7"/>
        <color indexed="9"/>
        <rFont val="Arial"/>
        <family val="2"/>
        <charset val="238"/>
      </rPr>
      <t>bilješke</t>
    </r>
  </si>
  <si>
    <t>Prethodna godina
(neto)</t>
  </si>
  <si>
    <t>Tekuća godina
(neto)</t>
  </si>
  <si>
    <r>
      <t xml:space="preserve">- ako je bilo što upisano u konsolidirana polja u kolonu </t>
    </r>
    <r>
      <rPr>
        <b/>
        <sz val="9"/>
        <rFont val="Arial"/>
        <family val="2"/>
        <charset val="238"/>
      </rPr>
      <t>tekuće</t>
    </r>
    <r>
      <rPr>
        <sz val="9"/>
        <rFont val="Arial"/>
        <family val="2"/>
        <charset val="238"/>
      </rPr>
      <t xml:space="preserve"> godine 1, u suprotnom nula</t>
    </r>
  </si>
  <si>
    <t>Aktiva</t>
  </si>
  <si>
    <r>
      <t xml:space="preserve">  I. Ulaganja </t>
    </r>
    <r>
      <rPr>
        <sz val="8"/>
        <rFont val="Arial"/>
        <family val="2"/>
        <charset val="238"/>
      </rPr>
      <t>(AOP 002 + 005 do 014)</t>
    </r>
  </si>
  <si>
    <t>+</t>
  </si>
  <si>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</si>
  <si>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</si>
  <si>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</si>
  <si>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</si>
  <si>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</si>
  <si>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</si>
  <si>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</si>
  <si>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</si>
  <si>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</si>
  <si>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</si>
  <si>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</si>
  <si>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</si>
  <si>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</si>
  <si>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</si>
  <si>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</si>
  <si>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</si>
  <si>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</si>
  <si>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</si>
  <si>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</si>
  <si>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</si>
  <si>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</si>
  <si>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</si>
  <si>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</si>
  <si>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</si>
  <si>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</si>
  <si>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</si>
  <si>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</si>
  <si>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</si>
  <si>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</si>
  <si>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</si>
  <si>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</si>
  <si>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</si>
  <si>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</si>
  <si>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</si>
  <si>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</si>
  <si>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</si>
  <si>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</si>
  <si>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</si>
  <si>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</si>
  <si>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</si>
  <si>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</si>
  <si>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</si>
  <si>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</si>
  <si>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</si>
  <si>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t>
  </si>
  <si>
    <t xml:space="preserve">Broj izdanih dionica </t>
  </si>
  <si>
    <r>
      <t xml:space="preserve">Neto imovina po dionici </t>
    </r>
    <r>
      <rPr>
        <sz val="8"/>
        <rFont val="Arial"/>
        <family val="2"/>
        <charset val="238"/>
      </rPr>
      <t>(AOP 044/045)</t>
    </r>
  </si>
  <si>
    <r>
      <rPr>
        <sz val="10"/>
        <rFont val="Arial"/>
        <charset val="238"/>
      </rPr>
      <t>Temeljni kapital</t>
    </r>
  </si>
  <si>
    <t>Premija na emitirane dionice/kapitalne rezerve</t>
  </si>
  <si>
    <t>Vlastite dionice</t>
  </si>
  <si>
    <t>Dobit/gubitak tekuće poslovne godine</t>
  </si>
  <si>
    <t>Zadržana dobit/gubitak iz prethodnih razdoblja</t>
  </si>
  <si>
    <r>
      <t xml:space="preserve">Rezerve fer vrijednosti </t>
    </r>
    <r>
      <rPr>
        <sz val="8"/>
        <rFont val="Arial"/>
        <family val="2"/>
        <charset val="238"/>
      </rPr>
      <t>(AOP 053+054)</t>
    </r>
  </si>
  <si>
    <t>a) Fer vrijednost financijske imovine</t>
  </si>
  <si>
    <t>b) Učinkoviti dio računovodstva zaštite</t>
  </si>
  <si>
    <t>Ostale revalorizacijske rezerve</t>
  </si>
  <si>
    <r>
      <t xml:space="preserve">Ukupno kapital i rezerve </t>
    </r>
    <r>
      <rPr>
        <sz val="8"/>
        <rFont val="Arial"/>
        <family val="2"/>
        <charset val="238"/>
      </rPr>
      <t>(AOP 047 do 052 + 055)</t>
    </r>
  </si>
  <si>
    <t>Izvanbilančna evidencija pasiva</t>
  </si>
  <si>
    <t>Dodatak **</t>
  </si>
  <si>
    <t>Pripisano imateljima matice</t>
  </si>
  <si>
    <t>Pripisano manjinskom interesu</t>
  </si>
  <si>
    <t xml:space="preserve"> </t>
  </si>
  <si>
    <t>RAČUN DOBITI I GUBITKA</t>
  </si>
  <si>
    <t>Obrazac
AIF-RDG</t>
  </si>
  <si>
    <t>Prethodna godina</t>
  </si>
  <si>
    <t>Tekuća godina</t>
  </si>
  <si>
    <t>- ako je bilo što upisano u izvještaj o sveobuhvatnoj dobiti 1, u suprotnom 0</t>
  </si>
  <si>
    <t>Prihodi</t>
  </si>
  <si>
    <r>
      <t xml:space="preserve">   I. Prihodi od ulaganja </t>
    </r>
    <r>
      <rPr>
        <sz val="8"/>
        <rFont val="Arial"/>
        <family val="2"/>
        <charset val="238"/>
      </rPr>
      <t>(AOP 061 do 063)</t>
    </r>
  </si>
  <si>
    <t>- ako je bilo što upisano u prekinuto poslovanje 1, u suprotnom 0</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</si>
  <si>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</si>
  <si>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</si>
  <si>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</si>
  <si>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</si>
  <si>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</si>
  <si>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r>
      <t xml:space="preserve">IV. Drugi prihodi </t>
    </r>
    <r>
      <rPr>
        <sz val="8"/>
        <rFont val="Arial"/>
        <family val="2"/>
        <charset val="238"/>
      </rPr>
      <t>(AOP 067+068)</t>
    </r>
  </si>
  <si>
    <t xml:space="preserve">  1. Prihodi od naknada za pozajmljene vrijednosne papire</t>
  </si>
  <si>
    <t xml:space="preserve">  2. Ostali prihodi</t>
  </si>
  <si>
    <r>
      <t xml:space="preserve">Ukupno prihodi </t>
    </r>
    <r>
      <rPr>
        <sz val="8"/>
        <rFont val="Arial"/>
        <family val="2"/>
        <charset val="238"/>
      </rPr>
      <t>(AOP 060 + 064 do 066)</t>
    </r>
  </si>
  <si>
    <t>Rashodi</t>
  </si>
  <si>
    <t xml:space="preserve">     I. Realizirani gubici od ulaganja</t>
  </si>
  <si>
    <t xml:space="preserve">    II. Nerealizirani gubici od ulaganja</t>
  </si>
  <si>
    <t xml:space="preserve">   III. Gubici od umanjenja vriijednosti za očekivane kreditne gubitke</t>
  </si>
  <si>
    <t xml:space="preserve">  IV. Umanjenje imovine</t>
  </si>
  <si>
    <t xml:space="preserve">   V. Naknade za usluge investicijskog savjetovanja</t>
  </si>
  <si>
    <t xml:space="preserve">  VI. Naknade za upravljanje</t>
  </si>
  <si>
    <t xml:space="preserve"> VII. Naknade za depozitara</t>
  </si>
  <si>
    <r>
      <t xml:space="preserve">VIII. Drugi rashodi </t>
    </r>
    <r>
      <rPr>
        <sz val="8"/>
        <rFont val="Arial"/>
        <family val="2"/>
        <charset val="238"/>
      </rPr>
      <t>(AOP 078 do 082)</t>
    </r>
  </si>
  <si>
    <t xml:space="preserve">   1. Administrativne pristojbe</t>
  </si>
  <si>
    <t xml:space="preserve">   2. Profesionalni honorari</t>
  </si>
  <si>
    <t xml:space="preserve">   3. Naknade za skrbničke usluge</t>
  </si>
  <si>
    <t xml:space="preserve">   4. Kamate</t>
  </si>
  <si>
    <t xml:space="preserve">   5. Ostali rashodi</t>
  </si>
  <si>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</si>
  <si>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</si>
  <si>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t>Porez na dobit</t>
  </si>
  <si>
    <r>
      <t xml:space="preserve">Dobit ili gubitak </t>
    </r>
    <r>
      <rPr>
        <sz val="8"/>
        <rFont val="Arial"/>
        <family val="2"/>
        <charset val="238"/>
      </rPr>
      <t>(AOP 084 - 085)</t>
    </r>
  </si>
  <si>
    <t>Ostala sveobuhvatna dobit</t>
  </si>
  <si>
    <t>1. Ostala sveobuhvatna dobit (AOP 088+093)</t>
  </si>
  <si>
    <r>
      <t xml:space="preserve">2. Stavke koje neće biti reklasificirane u računu dobiti i gubitka 
     </t>
    </r>
    <r>
      <rPr>
        <sz val="8"/>
        <rFont val="Arial"/>
        <family val="2"/>
        <charset val="238"/>
      </rPr>
      <t>(AOP 089 do 092)</t>
    </r>
  </si>
  <si>
    <t xml:space="preserve"> a) Promjena revalorizacijskih rezervi: nekretnine, postrojenja, oprema 
      i nematerijalna imovina</t>
  </si>
  <si>
    <t xml:space="preserve"> b) Promjena fer vrijednosti vlasničkih instrumenata</t>
  </si>
  <si>
    <t xml:space="preserve"> c) Promjene na ostalim stavakama koje neće biti reklasificirane u 
     račun dobiti i gubitka</t>
  </si>
  <si>
    <t xml:space="preserve"> d) Porez na dobit koji se odnosi na stavke koje neće biti reklasificirane</t>
  </si>
  <si>
    <r>
      <t xml:space="preserve">3. Stavke koj je moguće reklasificirati u račun dobiti i gubitka 
     </t>
    </r>
    <r>
      <rPr>
        <sz val="8"/>
        <rFont val="Arial"/>
        <family val="2"/>
        <charset val="238"/>
      </rPr>
      <t>(AOP 094+097+100+101+104)</t>
    </r>
  </si>
  <si>
    <r>
      <t xml:space="preserve"> a) Promjena revalorizacijskih rezervi: dužnički vrijednosni papiri 
      </t>
    </r>
    <r>
      <rPr>
        <sz val="8"/>
        <rFont val="Arial"/>
        <family val="2"/>
        <charset val="238"/>
      </rPr>
      <t>(AOP 095+096)</t>
    </r>
  </si>
  <si>
    <t xml:space="preserve">  - nerealizirani dobici/gubici</t>
  </si>
  <si>
    <t xml:space="preserve">  - preneseno u račun dobiti i gubitka (reklasifikacijske usklade)</t>
  </si>
  <si>
    <t xml:space="preserve"> b) Promjena revalorizacijskih rezervi: računovodstvo zaštite  
      (učinkoviti dio) (AOP 098+099)</t>
  </si>
  <si>
    <t xml:space="preserve">  - dobici/gubici</t>
  </si>
  <si>
    <t xml:space="preserve"> c) Tečajne razlike iz preračuna inozemnog poslovanja</t>
  </si>
  <si>
    <r>
      <t xml:space="preserve"> d) Promjene na ostalim stavakama koje je moguće reklasificirane 
      u račun dobiti i gubitka </t>
    </r>
    <r>
      <rPr>
        <sz val="8"/>
        <rFont val="Arial"/>
        <family val="2"/>
        <charset val="238"/>
      </rPr>
      <t>(AOP 102+103)</t>
    </r>
  </si>
  <si>
    <t xml:space="preserve">  - preneseno u račun dobiti I gubitka (reklasifikacijske usklade)</t>
  </si>
  <si>
    <t xml:space="preserve"> e) Porez na dobit koji se odnosi na stavke koje je moguće reklasificirati 
      u račun dobiti i gubitka</t>
  </si>
  <si>
    <r>
      <t xml:space="preserve">4. Ukupna sveobuhvatna dobit </t>
    </r>
    <r>
      <rPr>
        <sz val="8"/>
        <rFont val="Arial"/>
        <family val="2"/>
        <charset val="238"/>
      </rPr>
      <t>(AOP 086+087)</t>
    </r>
  </si>
  <si>
    <r>
      <t xml:space="preserve">Razrada ukupne sveobuhvatne dobiti </t>
    </r>
    <r>
      <rPr>
        <sz val="9"/>
        <color indexed="18"/>
        <rFont val="Arial"/>
        <family val="2"/>
        <charset val="238"/>
      </rPr>
      <t>(kod konsolidiranog financijskog izvještaja)</t>
    </r>
  </si>
  <si>
    <t>DODATNI PODACI</t>
  </si>
  <si>
    <t>Obrazac
AIF-DOP</t>
  </si>
  <si>
    <t>1. Naknade i drugi troškovi članova Nadzornog odbora Fonda</t>
  </si>
  <si>
    <t>2. Rashodi s osnova odnosa s društvom za upravljanje</t>
  </si>
  <si>
    <t>3. Porezi koje je Fond dužan platiti na imovinu i/ili dobit</t>
  </si>
  <si>
    <t>4. Transakcijski troškovi</t>
  </si>
  <si>
    <t>5. Ostali dopušteni troškovi fonda</t>
  </si>
  <si>
    <t>6. Amortizacija</t>
  </si>
  <si>
    <t>7. Ostali troškovi poslovanja</t>
  </si>
  <si>
    <t>IZVJEŠTAJ O NOVČANIM TOKOVIMA - Indirektna metoda</t>
  </si>
  <si>
    <t>Obrazac
AIF-NTI</t>
  </si>
  <si>
    <r>
      <t xml:space="preserve">Novčani tokovi iz poslovnih aktivnosti </t>
    </r>
    <r>
      <rPr>
        <sz val="8"/>
        <rFont val="Arial"/>
        <family val="2"/>
        <charset val="238"/>
      </rPr>
      <t>(AOP 002 do 024)</t>
    </r>
  </si>
  <si>
    <t>Dobit ili gubitak</t>
  </si>
  <si>
    <t>Dobici/gubici od ulaganja</t>
  </si>
  <si>
    <t>Neto rezultat od umanjenja vrijdnosti za očekivane kreditne gubitke</t>
  </si>
  <si>
    <t>Amortizacija i ostali ispravci vrijednosti imovine</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</si>
  <si>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</si>
  <si>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</si>
  <si>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</si>
  <si>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</si>
  <si>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</si>
  <si>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</si>
  <si>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</si>
  <si>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</si>
  <si>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</si>
  <si>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</si>
  <si>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</si>
  <si>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</si>
  <si>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</si>
  <si>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</si>
  <si>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</si>
  <si>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</si>
  <si>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</si>
  <si>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</si>
  <si>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</si>
  <si>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r>
      <t xml:space="preserve">Novčani tokovi iz financijskih aktivnosti </t>
    </r>
    <r>
      <rPr>
        <sz val="8"/>
        <rFont val="Arial"/>
        <family val="2"/>
        <charset val="238"/>
      </rPr>
      <t>(AOP 026 do 030)</t>
    </r>
  </si>
  <si>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</si>
  <si>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</si>
  <si>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</si>
  <si>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</si>
  <si>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</si>
  <si>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r>
      <t xml:space="preserve">Neto povećanje (smanjenje) novčanih sredstava </t>
    </r>
    <r>
      <rPr>
        <sz val="8"/>
        <rFont val="Arial"/>
        <family val="2"/>
        <charset val="238"/>
      </rPr>
      <t>(AOP 001+025)</t>
    </r>
  </si>
  <si>
    <t>Novac na početku razdoblja</t>
  </si>
  <si>
    <r>
      <t xml:space="preserve">Novac na kraju razdoblja </t>
    </r>
    <r>
      <rPr>
        <sz val="8"/>
        <rFont val="Arial"/>
        <family val="2"/>
        <charset val="238"/>
      </rPr>
      <t>(AOP 031+032)</t>
    </r>
  </si>
  <si>
    <t>IZVJEŠTAJ O NOVČANIM TOKOVIMA - Direktna metoda</t>
  </si>
  <si>
    <t>Obrazac
POD-NTD</t>
  </si>
  <si>
    <r>
      <t>Novčani tokovi iz poslovnih aktivnosti</t>
    </r>
    <r>
      <rPr>
        <b/>
        <sz val="8"/>
        <rFont val="Arial"/>
        <family val="2"/>
        <charset val="238"/>
      </rPr>
      <t xml:space="preserve"> </t>
    </r>
    <r>
      <rPr>
        <sz val="8"/>
        <rFont val="Arial"/>
        <family val="2"/>
        <charset val="238"/>
      </rPr>
      <t>(AOP 002 do 027)</t>
    </r>
  </si>
  <si>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</si>
  <si>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</si>
  <si>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</si>
  <si>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</si>
  <si>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</si>
  <si>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</si>
  <si>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</si>
  <si>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</si>
  <si>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</si>
  <si>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</si>
  <si>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</si>
  <si>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</si>
  <si>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</si>
  <si>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</si>
  <si>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</si>
  <si>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</si>
  <si>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</si>
  <si>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</si>
  <si>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</si>
  <si>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</si>
  <si>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</si>
  <si>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</si>
  <si>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</si>
  <si>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</si>
  <si>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r>
      <t xml:space="preserve">Novčani tokovi iz financijskih aktivnosti </t>
    </r>
    <r>
      <rPr>
        <sz val="8"/>
        <rFont val="Arial"/>
        <family val="2"/>
        <charset val="238"/>
      </rPr>
      <t>(AOP 029 do 033)</t>
    </r>
  </si>
  <si>
    <t>Efekti promjene tečaja stranih valuta</t>
  </si>
  <si>
    <r>
      <t xml:space="preserve">Neto povećanje (smanjenje) novčanih sredstava </t>
    </r>
    <r>
      <rPr>
        <sz val="8"/>
        <rFont val="Arial"/>
        <family val="2"/>
        <charset val="238"/>
      </rPr>
      <t>(AOP 001+028+034)</t>
    </r>
  </si>
  <si>
    <r>
      <t xml:space="preserve">Novac na kraju razdoblja </t>
    </r>
    <r>
      <rPr>
        <sz val="8"/>
        <rFont val="Arial"/>
        <family val="2"/>
        <charset val="238"/>
      </rPr>
      <t>(AOP 035+036)</t>
    </r>
  </si>
  <si>
    <t>Obrazac
AIF-PK</t>
  </si>
  <si>
    <t>- ako je upisan bilo koji AOP u koloni prethodne godine, 1 u suprotnom 0</t>
  </si>
  <si>
    <r>
      <t xml:space="preserve">- ako je upisan bilo koji AOP u koloni </t>
    </r>
    <r>
      <rPr>
        <b/>
        <sz val="8"/>
        <rFont val="Arial"/>
        <family val="2"/>
        <charset val="238"/>
      </rPr>
      <t>tekuće</t>
    </r>
    <r>
      <rPr>
        <sz val="8"/>
        <rFont val="Arial"/>
        <family val="2"/>
        <charset val="238"/>
      </rPr>
      <t xml:space="preserve"> godine 1 u suprotnom 0</t>
    </r>
  </si>
  <si>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</si>
  <si>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Opis pozicije</t>
  </si>
  <si>
    <r>
      <rPr>
        <b/>
        <sz val="8"/>
        <color indexed="9"/>
        <rFont val="Arial"/>
        <family val="2"/>
        <charset val="238"/>
      </rPr>
      <t>Temeljni kapital</t>
    </r>
  </si>
  <si>
    <t>Kapitalne rezerve</t>
  </si>
  <si>
    <r>
      <t>Rezerve fer vrijednosti</t>
    </r>
    <r>
      <rPr>
        <b/>
        <sz val="8"/>
        <rFont val="Arial"/>
        <family val="2"/>
        <charset val="238"/>
      </rPr>
      <t/>
    </r>
  </si>
  <si>
    <t>Ostale revaloriza-cijske rezerve</t>
  </si>
  <si>
    <t>Zadržana dobit ili preneseni gubitak</t>
  </si>
  <si>
    <t>Dobit  ili gubitak tekuće godine (razdoblja)</t>
  </si>
  <si>
    <t>Raspodjeljivo vlasnicima nekontro-lirajućih interesa</t>
  </si>
  <si>
    <t>Ukupno kapital i rezerve</t>
  </si>
  <si>
    <t>12 (04 do 11)</t>
  </si>
  <si>
    <t>Prethodno razdoblje</t>
  </si>
  <si>
    <t xml:space="preserve">  1. Stanje na dan početka prethodne  poslovne godine</t>
  </si>
  <si>
    <t xml:space="preserve">  2. Promjene računovodstvenih politika</t>
  </si>
  <si>
    <t xml:space="preserve">  3. Ispravak pogreški prethodnih razdoblja</t>
  </si>
  <si>
    <r>
      <t xml:space="preserve">  4. Stanje na dan početka  prethodne poslovne godine
      (prepravljeno)</t>
    </r>
    <r>
      <rPr>
        <sz val="8"/>
        <rFont val="Arial"/>
        <family val="2"/>
        <charset val="238"/>
      </rPr>
      <t xml:space="preserve"> (AOP 01 do 03)</t>
    </r>
  </si>
  <si>
    <t xml:space="preserve">  5. Dobit ili gubitak razdoblja</t>
  </si>
  <si>
    <t xml:space="preserve">  6. Promjene fer vrijednosti financijskih instrumenata</t>
  </si>
  <si>
    <t xml:space="preserve">  7. Ostali dobici i gubicii od ulaganja u financijske instrumente</t>
  </si>
  <si>
    <t xml:space="preserve">  8. Neto rezultat računovodstva zaštite od rizika</t>
  </si>
  <si>
    <t xml:space="preserve">  9. Promjene ostalih revalorizacijskih rezervi (nekretnine, 
      postrojenja, oprema i nematerijalna imovina)</t>
  </si>
  <si>
    <t>10. Tečajne razlike iz preračuna inozemnog poslovanja</t>
  </si>
  <si>
    <t>11. Ostale nevlasničke promjene kapitala</t>
  </si>
  <si>
    <r>
      <t xml:space="preserve">12. Ukupno izravno priznati prihodi i rashodi prethodne
      godine (razdoblja iz prethodne godine) </t>
    </r>
    <r>
      <rPr>
        <sz val="8"/>
        <rFont val="Arial"/>
        <family val="2"/>
        <charset val="238"/>
      </rPr>
      <t>(AOP 05 do 11)</t>
    </r>
  </si>
  <si>
    <t>13. Povećanje/smanjenje upisanog kapitala</t>
  </si>
  <si>
    <t>14. Ostale uplate vlasnika</t>
  </si>
  <si>
    <t>15. Otkup vlastitih udjela/dionica</t>
  </si>
  <si>
    <t>16. Isplata udjela u dobiti</t>
  </si>
  <si>
    <t>17. Ostale raspodjele vlasnicima</t>
  </si>
  <si>
    <r>
      <t xml:space="preserve">18. Stanje na zadnji dan izvještajnog razdoblja
      prethodne poslovne godine </t>
    </r>
    <r>
      <rPr>
        <sz val="8"/>
        <rFont val="Arial"/>
        <family val="2"/>
        <charset val="238"/>
      </rPr>
      <t>(AOP 04 + 12 do 17)</t>
    </r>
  </si>
  <si>
    <t>Tekuće razdoblje</t>
  </si>
  <si>
    <t xml:space="preserve">  1. Stanje na dan početka tekuće poslovne godine</t>
  </si>
  <si>
    <r>
      <t xml:space="preserve">  4. Stanje na dan početka  tekuće poslovne godine
      (prepravljeno) </t>
    </r>
    <r>
      <rPr>
        <sz val="8"/>
        <rFont val="Arial"/>
        <family val="2"/>
        <charset val="238"/>
      </rPr>
      <t>(AOP 19 do 21)</t>
    </r>
  </si>
  <si>
    <r>
      <t xml:space="preserve">12. Ukupno izravno priznati prihodi i rashodi tekuće
      godine (tekućeg razdoblja) </t>
    </r>
    <r>
      <rPr>
        <sz val="8"/>
        <rFont val="Arial"/>
        <family val="2"/>
        <charset val="238"/>
      </rPr>
      <t>(AOP 23 do 29)</t>
    </r>
  </si>
  <si>
    <r>
      <t xml:space="preserve">18. Stanje na zadnji dan izvještajnog razdoblja tekuće
      poslovne godine </t>
    </r>
    <r>
      <rPr>
        <sz val="8"/>
        <rFont val="Arial"/>
        <family val="2"/>
        <charset val="238"/>
      </rPr>
      <t>(AOP 22 + 30 do 35)</t>
    </r>
  </si>
  <si>
    <t>Obrazac</t>
  </si>
  <si>
    <t>Prethodna</t>
  </si>
  <si>
    <t>Tekuća</t>
  </si>
  <si>
    <t>Polje</t>
  </si>
  <si>
    <t>Vrijednost</t>
  </si>
  <si>
    <t>GR</t>
  </si>
  <si>
    <t>UPO</t>
  </si>
  <si>
    <t>REV</t>
  </si>
  <si>
    <t>KAP_DOM</t>
  </si>
  <si>
    <t>SERVIS_MB</t>
  </si>
  <si>
    <t>ODSTUPANJE</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</si>
  <si>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</si>
  <si>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KAP_INO</t>
  </si>
  <si>
    <t>SERVIS_NZ</t>
  </si>
  <si>
    <t>VALUTA</t>
  </si>
  <si>
    <t>Broj pogrešaka:</t>
  </si>
  <si>
    <t>Odluka_Utvr</t>
  </si>
  <si>
    <t>STANDARD</t>
  </si>
  <si>
    <t>Revizorsko</t>
  </si>
  <si>
    <t>TELEFON</t>
  </si>
  <si>
    <t>Kont_OS</t>
  </si>
  <si>
    <t>DRZAVA_S</t>
  </si>
  <si>
    <t>Broj upozorenja:</t>
  </si>
  <si>
    <t>VR_SUBJ</t>
  </si>
  <si>
    <t>Kont_TEL</t>
  </si>
  <si>
    <t>DRZAVA_T</t>
  </si>
  <si>
    <t>NEAKT / MJES POSL</t>
  </si>
  <si>
    <t>DAT_OD</t>
  </si>
  <si>
    <t>VR_SUBJT</t>
  </si>
  <si>
    <t>NKD2007</t>
  </si>
  <si>
    <t>Kont_MAIL</t>
  </si>
  <si>
    <t>Biljeske</t>
  </si>
  <si>
    <t>Redni broj i rezultat kontrole</t>
  </si>
  <si>
    <t>Opis koja polja kontrola provjerava i koji podatak treba popraviti ako kontrola javlja pogrešku</t>
  </si>
  <si>
    <t>ZAPSATI</t>
  </si>
  <si>
    <t>DAT_DO</t>
  </si>
  <si>
    <t>NKDOpis</t>
  </si>
  <si>
    <t>OdlukaRasp</t>
  </si>
  <si>
    <t>GodIzvj</t>
  </si>
  <si>
    <t>ZAP_PROSJEK</t>
  </si>
  <si>
    <t>OPC_TXT</t>
  </si>
  <si>
    <t>Godina</t>
  </si>
  <si>
    <t>POTPISNIK</t>
  </si>
  <si>
    <t>Kontrole popunjenosti i ispravnosti upisanih podataka na Referentnoj stranici</t>
  </si>
  <si>
    <t>Pogreška signalizira da Datum Od i/ili Datum Do izvještajnog razdoblja nisu popunjeni ili nisu ispravno popunjeni.</t>
  </si>
  <si>
    <t>Pogreška signalizira da oznaka primjene MSFI/HSFI, Vrste poslovnog subjekta ili oznaka poslovne aktivnosti nije ispravno popunjena.</t>
  </si>
  <si>
    <t>Pogreška signalizira da Vrsta izvještaja nije popunjena ili je pogrešno popunjena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</si>
  <si>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</si>
  <si>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Pogreška signalizira da Šifra svrhe predaje nije popunjena ili je pogrešno popunjena. Kontrola također javlja grešku ako je odabrana javna objava za vrstu subjekta koji ne može imati javnu objavu. U tom slučaju ispravite svrhu ili ispravite vrstu subjekta.</t>
  </si>
  <si>
    <t>Pogreška signalizira da Obveznost predaje nefinancijskog izvješća nije popunjena ili je pogrešno popunjena (u primjeni tek od 2017. godine)</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</si>
  <si>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</si>
  <si>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Pogreška signalizira da OIB nije upisan ili je pogrešna duljina OIB-a.</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</si>
  <si>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</si>
  <si>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</si>
  <si>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</si>
  <si>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</si>
  <si>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Pogreška signalizira da adresa (ulica i broj) ili telefon poduzetnika nisu popunjeni ili nisu ispravno popunjeni.</t>
  </si>
  <si>
    <t>Pogreška signalizira da adresa e-pošte obveznika nije popunjena ili je pogrešno popunjena, a to znači da sadrži razmak ili neki specijalni znak koji adresa e-pošte ne bi smjela sadržavati. U polje adrese e-pošte upišite samo jednu adresu.</t>
  </si>
  <si>
    <t>Pogreška signalizira da šifra grada/općine nije upisana ili je pogrešno upisana</t>
  </si>
  <si>
    <t>Pogreška signalizira da šifra djelatnosti nije upisana ili je upisana pogrešna (ili je upisana za vrstu subjekta koji je nema)</t>
  </si>
  <si>
    <t>Pogreška signalizira da oznaka vlasništva nije upisana ili je upisana nepostojeća šifra.</t>
  </si>
  <si>
    <t>Pogreška signalizira da postotak domaćeg i stranog kapitala nije dobro popunjen. Zbrojno moraju dati 100 i moraju biti upisani cijeli brojevi.</t>
  </si>
  <si>
    <t>Pogreška signalizira da je broj mjeseci poslovanja izvan granica dopuštenog ili nije upisan za one kolone podataka koje su popunjene u Bilanci.</t>
  </si>
  <si>
    <t>Pogreška signalizira da nije popunjen ili je pogrešno popunjen podataka o osobi za kontaktiranje, telefonu, adresa e-pošte. Kod adrese e-pošte osobe za kontakt provjerava se ispravnost adrese (ne smije imati razmake, slova čžšđ, specijalne znakove itd.)</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</si>
  <si>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</si>
  <si>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</si>
  <si>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Matematičko - logičke obvezne kontrole (kontrole koje u svim uvjetima moraju biti zadovoljene)</t>
  </si>
  <si>
    <t>Pozicije ukupno aktiva (AOP 025) i ukupno pasiva (AOP 043 + AOP 056) moraju biti jednake uz dopušteno odstupanje od 1kn zbog zaokruživanja i veće od nule u svakoj godini u kojoj je poslovni subjekt poslovao, tj. gdje je broj mjeseci poslovanja veći od nule.</t>
  </si>
  <si>
    <t>Pozicije izvanbilančni zapisi u aktivi (AOP 026) moraju biti jednaki izvanbilančnim zapisima u pasivi (AOP 057) u obje kolone podataka - tekuća godina i prethodna godina. Zbog zaokruživanja iznosa, kontrola dozvoljava razliku od 1.</t>
  </si>
  <si>
    <t xml:space="preserve">Stavka Dobit ili gubitak poslovne godine (AOP 050) u Bilanci mora biti jednake stavci Dobit ili gubitak razdoblja (AOP 086) u Računu dobiti i gubitka uz dopušteno odstupanje od 1kn zbog zaokruživanja. Ova kontrola ne vrijedi samo kod konsolidiranih izvještaja. </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</si>
  <si>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</si>
  <si>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Samo vrste izvještaja 10, 11, 20 i 30 mogu biti konsolidirane. Kontrola javlja pogrešku ako je označeno da je neka druga vrsta izvještaja konsolidirana. Konsolidirani izvještaj može se predati samo za javnu objavu.</t>
  </si>
  <si>
    <t>U Bilanci samo AOP oznake 044, 046, 049 do 056, 058 i 059  mogu biti negativne. Kontrola javlja pogrešku ako je bilo koja druga AOP oznaka osim ovih negativna.</t>
  </si>
  <si>
    <t>U Računu dobiti i gubitka samo AOP oznake 084 do 107 mogu biti negativne. Kontrola javlja pogrešku ako je bilo koja druga AOP oznaka negativna.</t>
  </si>
  <si>
    <t>Ni jedan iznos u dodatnim podacima ne može biti negativan. Ako je neki iznos negativan obrazac je pogrešan.</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</si>
  <si>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</si>
  <si>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Kontrole popunjenosti podataka i primjene poslovnih pravila - moraju biti zadovoljene</t>
  </si>
  <si>
    <t>Bilanca i Račun dobiti i gubitka predaju se u svim slučajevima. Podaci moraju biti popunjeni u onim kolonama u kojima je broj mjeseci poslovanja veći od nule. Izuzetak su poduzetnici koji nisu bili poslovno aktivni. Oni na Referentnoj stranici upisuju broj mjeseci poslovanja, ali moraju označiti da su bili poslovno neaktivni te tada mogu Račun dobiti i gubitka imati prazan i za kolonu u kojoj je broj mjeseci poslovanja veći od nule, ali se smatra kao da je popunjen.</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</si>
  <si>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kolonama u kojima je broj mjeseci poslovanja veći od nule.</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</si>
  <si>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</si>
  <si>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Izvještaj o novčanim tokovima predaju obveznici koji predaju izvještaj u svrhu javne objave. Ovisno o primjeni računovodstvenih politika popunjava se izvještaj po indirektnoj ili direktnoj metodi. Kontrola javlja pogrešku ako su popunjena oba izvještaja, ili nije ni jedan, a poduzetnik ga je dužan popuniti. Ovaj izvještaj se ne popunjava ako je svrha predaje samo statistika. U svakoj godini (tekuća ili prethodna) gdje je broj mjeseci poslovanja veći od nule, moraju biti upisani podaci i u ovaj izvještaj.</t>
  </si>
  <si>
    <t>Izvještaj o promjenama kapitala moraju popuniti svi obveznici koji predaju izvještaj u svrhu javne objave. Ovaj izvještaj se ne popunjava ako je svrha predaje samo za statističke potrebe.</t>
  </si>
  <si>
    <t>Godišnje izvješće predaje se uz izvještaj za potrebe javne objave, a obavezan je uz vrste izvještaja 10 i 11.</t>
  </si>
  <si>
    <t>Odluka o raspodjeli dobiti ili pokriću gubitka predaje se uz izvještaje s oznakom vrste izvještaja 10 i 11. Za vrste izvještaja 20 i 30 ova odluka može se predati, ali nije obvezna dok se uz ostale vrste izvještaja kao ni uz konsolidirane izvještaje ne predaje.</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</si>
  <si>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</si>
  <si>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</si>
  <si>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Kontrola na datum od i datum do te na broj mjeseci poslovanja. Ako izvještaj nije vrste izvještaja 30 te za svrhu javne objave, broj mjeseci poslovanja ne može biti veći od 12 i ne može biti nula u koloni tekuće godine. Ako stvarno razdoblje poslovanja u tekućoj godini nije 1.1. do 31.12., broj mjeseci poslovanja mora odgovarati trajanju razdoblja datuma od i datuma do Računa dobiti u gubitka. Ako su u kolonu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kolona prethodne godine mora biti prazna. Vrsta izvještaja 10 ne može imati završni datum drugačiji od 31.12. Vrsta izvještaja 11 kod predaje za javnu objavu ne može imati završni datum 31.12., ali kod predaje za statistiku mora imati 31.12. Ni u jednom obrascu ne mogu biti popunjeni podaci za kolonu godine u kojoj je broj mjeseci poslovanja nula.</t>
  </si>
  <si>
    <t>Pogrešan tip datoteke. Pojavom Office-a 2007. i 2010. uveden je novi format Excel datoteka. Kako je moguće da i novije verzije Microsoft Excel-a rade sa starijim tipom datoteka, za predaju u Finu zadržan je stariji tip Excel datoteka jer je kompatibilan i s OpenOffice-om te je s te strane pogodan za rad i korisnicima s novim i sa starim verzijama Microsoft Excel-a. Noviji tip Excel datoteka ima u nazivu nastavak ".xlsx", dok stari tip ima nastavak ".xls". Ako je ova kontrola pogrešna, znači da datoteka u nazivu ima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</si>
  <si>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Niti jedan iznos ne smije biti upisan s lipama. Kod ručnog unosa Excel datoteka tu mogućnost ne dozvoljava, ali kod programskog punjena Excel datoteke moguće je "ugurati" i lipe. Isto tako ko Copy/Paste (kopiraj/zalijepi) metode moguće je prebaciti podatke s lipama (nezaokružene iznose). Iako se podaci prikazuju kao zaokružene vrijednosti one to nisu i takav obrazac je neispravan i ne može biti učitan. Ako podatke kopirate iz nekog drugog Excel-a, obavezno ih prije kopiranja zaokružite da budu bez decimala.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</si>
</sst>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000"/>
  </numFmts>
  <fonts count="82"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12"/>
      <color indexed="56"/>
      <name val="Arial Rounded MT Bold"/>
      <family val="2"/>
    </font>
    <font>
      <sz val="7"/>
      <name val="Arial"/>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charset val="238"/>
    </font>
    <font>
      <b/>
      <sz val="8"/>
      <color indexed="81"/>
      <name val="Tahoma"/>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9"/>
      <color indexed="10"/>
      <name val="Arial"/>
      <family val="2"/>
      <charset val="238"/>
    </font>
    <font>
      <b/>
      <sz val="12"/>
      <color indexed="56"/>
      <name val="Arial Rounded MT Bold"/>
      <family val="2"/>
    </font>
    <font>
      <sz val="12"/>
      <color indexed="56"/>
      <name val="Arial"/>
      <charset val="238"/>
    </font>
    <font>
      <b/>
      <sz val="8"/>
      <color indexed="81"/>
      <name val="Tahoma"/>
      <family val="2"/>
      <charset val="238"/>
    </font>
    <font>
      <sz val="10"/>
      <name val="Arial"/>
      <family val="2"/>
      <charset val="238"/>
    </font>
    <font>
      <b/>
      <sz val="10"/>
      <color indexed="56"/>
      <name val="Arial"/>
      <family val="2"/>
      <charset val="238"/>
    </font>
    <font>
      <sz val="9"/>
      <color indexed="18"/>
      <name val="Arial"/>
      <family val="2"/>
      <charset val="238"/>
    </font>
    <font>
      <sz val="8"/>
      <color indexed="23"/>
      <name val="Arial"/>
      <charset val="238"/>
    </font>
    <font>
      <sz val="8"/>
      <color indexed="22"/>
      <name val="Arial"/>
      <family val="2"/>
      <charset val="238"/>
    </font>
    <font>
      <sz val="9"/>
      <color indexed="55"/>
      <name val="Arial"/>
      <family val="2"/>
      <charset val="238"/>
    </font>
    <font>
      <b/>
      <sz val="10"/>
      <color indexed="56"/>
      <name val="Arial Rounded MT Bold"/>
      <family val="2"/>
    </font>
    <font>
      <b/>
      <sz val="8"/>
      <color indexed="13"/>
      <name val="Arial"/>
      <family val="2"/>
      <charset val="238"/>
    </font>
    <font>
      <sz val="10"/>
      <color indexed="9"/>
      <name val="Arial"/>
      <charset val="238"/>
    </font>
    <font>
      <sz val="10"/>
      <name val="Arial"/>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10"/>
      <color indexed="23"/>
      <name val="Arial"/>
      <charset val="238"/>
    </font>
    <font>
      <sz val="8"/>
      <color indexed="23"/>
      <name val="Arial"/>
      <family val="2"/>
      <charset val="238"/>
    </font>
    <font>
      <sz val="10"/>
      <color indexed="23"/>
      <name val="Arial"/>
      <family val="2"/>
      <charset val="238"/>
    </font>
    <font>
      <sz val="8"/>
      <color indexed="12"/>
      <name val="Arial"/>
      <family val="2"/>
      <charset val="238"/>
    </font>
    <font>
      <b/>
      <sz val="10"/>
      <color indexed="10"/>
      <name val="Arial"/>
      <family val="2"/>
      <charset val="238"/>
    </font>
    <font>
      <b/>
      <sz val="10"/>
      <color indexed="12"/>
      <name val="Arial"/>
      <family val="2"/>
      <charset val="238"/>
    </font>
    <font>
      <sz val="8"/>
      <color indexed="55"/>
      <name val="Arial"/>
      <charset val="238"/>
    </font>
    <font>
      <sz val="10"/>
      <color indexed="55"/>
      <name val="Arial"/>
      <charset val="238"/>
    </font>
    <font>
      <b/>
      <sz val="9"/>
      <color indexed="12"/>
      <name val="Arial"/>
      <family val="2"/>
      <charset val="238"/>
    </font>
    <font>
      <b/>
      <sz val="10"/>
      <color indexed="55"/>
      <name val="Arial"/>
      <charset val="238"/>
    </font>
    <font>
      <b/>
      <sz val="8"/>
      <color indexed="55"/>
      <name val="Arial"/>
      <charset val="238"/>
    </font>
    <font>
      <sz val="8"/>
      <color indexed="9"/>
      <name val="Arial"/>
      <charset val="238"/>
    </font>
    <font>
      <b/>
      <sz val="10"/>
      <color indexed="9"/>
      <name val="Arial"/>
      <charset val="238"/>
    </font>
    <font>
      <sz val="9"/>
      <color indexed="9"/>
      <name val="Arial"/>
      <charset val="238"/>
    </font>
    <font>
      <b/>
      <sz val="7"/>
      <color indexed="9"/>
      <name val="Arial"/>
      <charset val="238"/>
    </font>
    <font>
      <sz val="10"/>
      <color indexed="9"/>
      <name val="Arial"/>
      <family val="2"/>
      <charset val="238"/>
    </font>
    <font>
      <b/>
      <sz val="10"/>
      <color indexed="23"/>
      <name val="Arial"/>
      <family val="2"/>
      <charset val="238"/>
    </font>
    <font>
      <sz val="7"/>
      <color indexed="23"/>
      <name val="Arial"/>
      <charset val="238"/>
    </font>
    <font>
      <strike/>
      <sz val="9"/>
      <name val="Arial"/>
      <family val="2"/>
      <charset val="238"/>
    </font>
    <font>
      <b/>
      <strike/>
      <sz val="9"/>
      <color indexed="18"/>
      <name val="Arial"/>
      <family val="2"/>
      <charset val="238"/>
    </font>
    <font>
      <sz val="10"/>
      <color indexed="12"/>
      <name val="Arial"/>
      <family val="2"/>
      <charset val="238"/>
    </font>
    <font>
      <b/>
      <sz val="9"/>
      <color indexed="60"/>
      <name val="Arial"/>
      <family val="2"/>
      <charset val="238"/>
    </font>
    <font>
      <b/>
      <sz val="10"/>
      <color indexed="60"/>
      <name val="Arial"/>
      <family val="2"/>
      <charset val="238"/>
    </font>
    <font>
      <b/>
      <sz val="9"/>
      <color indexed="81"/>
      <name val="Tahoma"/>
      <charset val="1"/>
    </font>
    <font>
      <sz val="9"/>
      <color indexed="81"/>
      <name val="Tahoma"/>
      <family val="2"/>
      <charset val="238"/>
    </font>
    <font>
      <b/>
      <sz val="9"/>
      <color indexed="17"/>
      <name val="Tahoma"/>
      <family val="2"/>
      <charset val="238"/>
    </font>
    <font>
      <sz val="9"/>
      <color indexed="17"/>
      <name val="Tahoma"/>
      <family val="2"/>
      <charset val="238"/>
    </font>
    <font>
      <b/>
      <sz val="9"/>
      <color indexed="60"/>
      <name val="Tahoma"/>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solid">
        <fgColor indexed="55"/>
        <bgColor indexed="64"/>
      </patternFill>
    </fill>
    <fill>
      <patternFill patternType="solid">
        <fgColor indexed="55"/>
        <bgColor indexed="22"/>
      </patternFill>
    </fill>
    <fill>
      <patternFill patternType="solid">
        <fgColor indexed="9"/>
        <bgColor indexed="22"/>
      </patternFill>
    </fill>
    <fill>
      <patternFill patternType="solid">
        <fgColor indexed="65"/>
        <bgColor indexed="64"/>
      </patternFill>
    </fill>
    <fill>
      <patternFill patternType="solid">
        <fgColor indexed="26"/>
        <bgColor indexed="55"/>
      </patternFill>
    </fill>
    <fill>
      <patternFill patternType="solid">
        <fgColor indexed="56"/>
        <bgColor indexed="22"/>
      </patternFill>
    </fill>
    <fill>
      <patternFill patternType="lightGray">
        <fgColor indexed="31"/>
      </patternFill>
    </fill>
    <fill>
      <patternFill patternType="gray125">
        <fgColor indexed="22"/>
      </patternFill>
    </fill>
    <fill>
      <patternFill patternType="mediumGray">
        <fgColor indexed="22"/>
      </patternFill>
    </fill>
    <fill>
      <patternFill patternType="gray125">
        <fgColor indexed="22"/>
        <bgColor indexed="22"/>
      </patternFill>
    </fill>
  </fills>
  <borders count="77">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23"/>
      </right>
      <top/>
      <bottom/>
      <diagonal/>
    </border>
    <border>
      <left/>
      <right/>
      <top style="thin">
        <color indexed="23"/>
      </top>
      <bottom/>
      <diagonal/>
    </border>
    <border>
      <left/>
      <right style="thin">
        <color indexed="55"/>
      </right>
      <top/>
      <bottom/>
      <diagonal/>
    </border>
    <border>
      <left style="thin">
        <color indexed="22"/>
      </left>
      <right/>
      <top/>
      <bottom/>
      <diagonal/>
    </border>
    <border>
      <left style="thin">
        <color indexed="64"/>
      </left>
      <right style="thin">
        <color indexed="64"/>
      </right>
      <top style="thin">
        <color indexed="64"/>
      </top>
      <bottom style="thin">
        <color indexed="22"/>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22"/>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8"/>
      </left>
      <right/>
      <top style="thin">
        <color indexed="22"/>
      </top>
      <bottom style="thin">
        <color indexed="22"/>
      </bottom>
      <diagonal/>
    </border>
    <border>
      <left/>
      <right style="thin">
        <color indexed="8"/>
      </right>
      <top style="thin">
        <color indexed="22"/>
      </top>
      <bottom style="thin">
        <color indexed="22"/>
      </bottom>
      <diagonal/>
    </border>
    <border>
      <left/>
      <right style="thin">
        <color indexed="64"/>
      </right>
      <top style="thin">
        <color indexed="64"/>
      </top>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485">
    <xf numFmtId="0" fontId="0" fillId="0" borderId="0" xfId="0"/>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29" fillId="0" borderId="1" xfId="0" applyFont="1" applyBorder="1" applyAlignment="1" applyProtection="1">
      <alignment horizontal="center" vertical="center"/>
      <protection hidden="1"/>
    </xf>
    <xf numFmtId="0" fontId="2" fillId="0" borderId="0" xfId="0" applyFont="1" applyAlignment="1" applyProtection="1">
      <alignment vertical="center"/>
      <protection hidden="1"/>
    </xf>
    <xf numFmtId="0" fontId="10" fillId="0" borderId="2" xfId="0" applyFont="1" applyBorder="1" applyAlignment="1" applyProtection="1">
      <alignment horizontal="center" vertical="center" wrapText="1"/>
      <protection hidden="1"/>
    </xf>
    <xf numFmtId="0" fontId="19" fillId="0" borderId="3" xfId="0" applyFont="1" applyBorder="1" applyAlignment="1" applyProtection="1">
      <alignment horizontal="center" vertical="center"/>
      <protection hidden="1"/>
    </xf>
    <xf numFmtId="0" fontId="19" fillId="0" borderId="3" xfId="0" applyFont="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2" fillId="0" borderId="0" xfId="0" quotePrefix="1" applyFont="1" applyAlignment="1">
      <alignment vertical="center"/>
    </xf>
    <xf numFmtId="164" fontId="4" fillId="0" borderId="5" xfId="0" applyNumberFormat="1" applyFont="1" applyBorder="1" applyAlignment="1">
      <alignment horizontal="center" vertical="center"/>
    </xf>
    <xf numFmtId="49" fontId="4" fillId="0" borderId="5" xfId="0" applyNumberFormat="1" applyFont="1" applyBorder="1" applyAlignment="1" applyProtection="1">
      <alignment vertical="center"/>
      <protection locked="0"/>
    </xf>
    <xf numFmtId="49" fontId="4" fillId="0" borderId="6" xfId="0" applyNumberFormat="1" applyFont="1" applyBorder="1" applyAlignment="1" applyProtection="1">
      <alignment vertical="center"/>
      <protection locked="0"/>
    </xf>
    <xf numFmtId="0" fontId="3" fillId="0" borderId="0" xfId="0" applyFont="1" applyAlignment="1" applyProtection="1">
      <alignment horizontal="right" vertical="center" wrapText="1"/>
      <protection hidden="1"/>
    </xf>
    <xf numFmtId="0" fontId="36" fillId="0" borderId="0" xfId="0" applyFont="1" applyAlignment="1" applyProtection="1">
      <alignment horizontal="left" vertical="center"/>
      <protection hidden="1"/>
    </xf>
    <xf numFmtId="0" fontId="0" fillId="0" borderId="0" xfId="0" applyAlignment="1">
      <alignment vertical="center"/>
    </xf>
    <xf numFmtId="49" fontId="0" fillId="0" borderId="0" xfId="0" applyNumberFormat="1"/>
    <xf numFmtId="2" fontId="0" fillId="0" borderId="0" xfId="0" applyNumberFormat="1"/>
    <xf numFmtId="3" fontId="0" fillId="0" borderId="0" xfId="0" applyNumberFormat="1"/>
    <xf numFmtId="0" fontId="0" fillId="0" borderId="0" xfId="0" applyAlignment="1">
      <alignment horizontal="left" vertical="center" wrapText="1"/>
    </xf>
    <xf numFmtId="3" fontId="14" fillId="2" borderId="7" xfId="0" applyNumberFormat="1"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29" fillId="0" borderId="8" xfId="0" applyFont="1" applyBorder="1" applyAlignment="1" applyProtection="1">
      <alignment horizontal="center" vertical="center"/>
      <protection hidden="1"/>
    </xf>
    <xf numFmtId="0" fontId="29" fillId="0" borderId="9" xfId="0" applyFont="1" applyBorder="1" applyAlignment="1" applyProtection="1">
      <alignment horizontal="center" vertical="center"/>
      <protection hidden="1"/>
    </xf>
    <xf numFmtId="0" fontId="3" fillId="0" borderId="8" xfId="0" applyFont="1" applyBorder="1" applyAlignment="1" applyProtection="1">
      <alignment horizontal="right" vertical="center"/>
      <protection hidden="1"/>
    </xf>
    <xf numFmtId="1" fontId="14" fillId="2" borderId="10" xfId="0" applyNumberFormat="1" applyFont="1" applyFill="1" applyBorder="1" applyAlignment="1" applyProtection="1">
      <alignment horizontal="center" vertical="center"/>
      <protection locked="0"/>
    </xf>
    <xf numFmtId="49" fontId="14" fillId="2" borderId="10"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0"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11" fillId="0" borderId="0" xfId="0" applyFont="1" applyAlignment="1">
      <alignment horizontal="center"/>
    </xf>
    <xf numFmtId="49" fontId="11" fillId="0" borderId="0" xfId="0" applyNumberFormat="1" applyFont="1" applyAlignment="1">
      <alignment horizontal="center"/>
    </xf>
    <xf numFmtId="2" fontId="11" fillId="0" borderId="0" xfId="0" applyNumberFormat="1" applyFont="1" applyAlignment="1">
      <alignment horizontal="center"/>
    </xf>
    <xf numFmtId="1" fontId="47" fillId="0" borderId="0" xfId="0" applyNumberFormat="1" applyFont="1" applyAlignment="1" applyProtection="1">
      <alignment vertical="center"/>
      <protection hidden="1"/>
    </xf>
    <xf numFmtId="0" fontId="47" fillId="0" borderId="0" xfId="0" applyFont="1" applyAlignment="1" applyProtection="1">
      <alignment vertical="center"/>
      <protection hidden="1"/>
    </xf>
    <xf numFmtId="0" fontId="48" fillId="0" borderId="0" xfId="0" applyFont="1" applyAlignment="1">
      <alignment vertical="center"/>
    </xf>
    <xf numFmtId="1" fontId="14" fillId="0" borderId="0" xfId="0" applyNumberFormat="1" applyFont="1" applyAlignment="1" applyProtection="1">
      <alignment horizontal="right" vertical="center"/>
      <protection hidden="1"/>
    </xf>
    <xf numFmtId="0" fontId="8" fillId="0" borderId="0" xfId="0" applyFont="1" applyAlignment="1" applyProtection="1">
      <alignment horizontal="left" vertical="center"/>
      <protection hidden="1"/>
    </xf>
    <xf numFmtId="0" fontId="0" fillId="0" borderId="0" xfId="0" applyAlignme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11" xfId="0" applyFont="1" applyFill="1" applyBorder="1" applyAlignment="1" applyProtection="1">
      <alignment horizontal="center" vertical="center"/>
      <protection hidden="1"/>
    </xf>
    <xf numFmtId="0" fontId="46" fillId="4" borderId="12" xfId="1" applyFont="1" applyFill="1" applyBorder="1" applyAlignment="1" applyProtection="1">
      <alignment horizontal="center" vertical="center" shrinkToFit="1"/>
      <protection hidden="1"/>
    </xf>
    <xf numFmtId="0" fontId="46" fillId="4" borderId="13" xfId="1" applyFont="1" applyFill="1" applyBorder="1" applyAlignment="1" applyProtection="1">
      <alignment horizontal="center" vertical="center" shrinkToFit="1"/>
      <protection hidden="1"/>
    </xf>
    <xf numFmtId="1" fontId="14" fillId="2" borderId="10" xfId="0" applyNumberFormat="1" applyFont="1" applyFill="1" applyBorder="1" applyAlignment="1" applyProtection="1">
      <alignment horizontal="left" vertical="center"/>
      <protection locked="0"/>
    </xf>
    <xf numFmtId="0" fontId="5" fillId="0" borderId="0" xfId="0" quotePrefix="1" applyFont="1" applyAlignment="1">
      <alignment vertical="center"/>
    </xf>
    <xf numFmtId="3" fontId="5" fillId="0" borderId="0" xfId="0" applyNumberFormat="1" applyFont="1" applyAlignment="1">
      <alignment vertical="center"/>
    </xf>
    <xf numFmtId="0" fontId="5" fillId="0" borderId="14" xfId="0" applyFont="1" applyBorder="1" applyAlignment="1" applyProtection="1">
      <alignment horizontal="center" vertical="top" wrapText="1"/>
      <protection hidden="1"/>
    </xf>
    <xf numFmtId="0" fontId="12" fillId="0" borderId="0" xfId="0" applyFont="1" applyAlignment="1" applyProtection="1">
      <alignment horizontal="center" vertical="top" wrapText="1"/>
      <protection hidden="1"/>
    </xf>
    <xf numFmtId="0" fontId="41" fillId="0" borderId="0" xfId="0" applyFont="1" applyAlignment="1" applyProtection="1">
      <alignment horizontal="center" vertical="top" wrapText="1"/>
      <protection hidden="1"/>
    </xf>
    <xf numFmtId="0" fontId="5" fillId="0" borderId="0" xfId="0" applyFont="1"/>
    <xf numFmtId="0" fontId="41" fillId="0" borderId="14" xfId="0" applyFont="1" applyBorder="1" applyAlignment="1">
      <alignment horizontal="center" vertical="top" wrapText="1"/>
    </xf>
    <xf numFmtId="0" fontId="31" fillId="5" borderId="15" xfId="0" applyFont="1" applyFill="1" applyBorder="1" applyAlignment="1" applyProtection="1">
      <alignment horizontal="center" vertical="center" wrapText="1"/>
      <protection hidden="1"/>
    </xf>
    <xf numFmtId="0" fontId="30" fillId="5" borderId="15" xfId="0" applyFont="1" applyFill="1" applyBorder="1" applyAlignment="1">
      <alignment horizontal="center" vertical="center" wrapText="1"/>
    </xf>
    <xf numFmtId="0" fontId="30" fillId="5" borderId="16" xfId="0" applyFont="1" applyFill="1" applyBorder="1" applyAlignment="1">
      <alignment horizontal="center" vertical="center" wrapText="1"/>
    </xf>
    <xf numFmtId="0" fontId="30" fillId="5" borderId="15" xfId="0" applyFont="1" applyFill="1" applyBorder="1" applyAlignment="1" applyProtection="1">
      <alignment horizontal="center" vertical="center" wrapText="1"/>
      <protection hidden="1"/>
    </xf>
    <xf numFmtId="0" fontId="30" fillId="5" borderId="16"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protection hidden="1"/>
    </xf>
    <xf numFmtId="0" fontId="31" fillId="5" borderId="18" xfId="0" applyFont="1" applyFill="1" applyBorder="1" applyAlignment="1" applyProtection="1">
      <alignment horizontal="center" vertical="center" wrapText="1"/>
      <protection hidden="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9" fillId="0" borderId="0" xfId="0" applyFont="1" applyAlignment="1">
      <alignment vertical="center"/>
    </xf>
    <xf numFmtId="0" fontId="30" fillId="6" borderId="17"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6" borderId="18"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12" fillId="0" borderId="14" xfId="0" applyFont="1" applyBorder="1" applyAlignment="1">
      <alignment horizontal="center" vertical="top" wrapText="1"/>
    </xf>
    <xf numFmtId="0" fontId="31" fillId="5" borderId="17" xfId="0" applyFont="1" applyFill="1" applyBorder="1" applyAlignment="1">
      <alignment horizontal="center" vertical="center"/>
    </xf>
    <xf numFmtId="49" fontId="31" fillId="5" borderId="17" xfId="0" applyNumberFormat="1" applyFont="1" applyFill="1" applyBorder="1" applyAlignment="1" applyProtection="1">
      <alignment horizontal="center" vertical="center"/>
      <protection hidden="1"/>
    </xf>
    <xf numFmtId="49" fontId="31" fillId="5" borderId="17" xfId="0" applyNumberFormat="1" applyFont="1" applyFill="1" applyBorder="1" applyAlignment="1">
      <alignment horizontal="center" vertical="center" wrapText="1"/>
    </xf>
    <xf numFmtId="49" fontId="31" fillId="5" borderId="18" xfId="0" applyNumberFormat="1" applyFont="1" applyFill="1" applyBorder="1" applyAlignment="1">
      <alignment horizontal="center" vertical="center" wrapText="1"/>
    </xf>
    <xf numFmtId="0" fontId="12" fillId="0" borderId="0" xfId="0" applyFont="1" applyAlignment="1">
      <alignment horizontal="center" vertical="top" wrapText="1"/>
    </xf>
    <xf numFmtId="0" fontId="41" fillId="0" borderId="0" xfId="0" applyFont="1" applyAlignment="1">
      <alignment horizontal="center" vertical="top" wrapText="1"/>
    </xf>
    <xf numFmtId="0" fontId="16" fillId="0" borderId="14" xfId="0" applyFont="1" applyBorder="1" applyAlignment="1">
      <alignment horizontal="center" vertical="top" wrapText="1"/>
    </xf>
    <xf numFmtId="0" fontId="16" fillId="0" borderId="0" xfId="0" applyFont="1" applyAlignment="1">
      <alignment horizontal="center" vertical="top" wrapText="1"/>
    </xf>
    <xf numFmtId="0" fontId="51" fillId="0" borderId="0" xfId="0" applyFont="1" applyAlignment="1">
      <alignment horizontal="center" vertical="top" wrapText="1"/>
    </xf>
    <xf numFmtId="49" fontId="11" fillId="0" borderId="20" xfId="0" applyNumberFormat="1"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11" fillId="0" borderId="0" xfId="0" applyFont="1"/>
    <xf numFmtId="0" fontId="52" fillId="0" borderId="0" xfId="0" applyFont="1"/>
    <xf numFmtId="0" fontId="53" fillId="0" borderId="0" xfId="0" applyFont="1"/>
    <xf numFmtId="0" fontId="30" fillId="4" borderId="0" xfId="0" applyFont="1" applyFill="1" applyAlignment="1" applyProtection="1">
      <alignment horizontal="center" vertical="center" shrinkToFit="1"/>
      <protection hidden="1"/>
    </xf>
    <xf numFmtId="0" fontId="2" fillId="4" borderId="0" xfId="0" applyFont="1" applyFill="1" applyAlignment="1">
      <alignment vertical="center" shrinkToFit="1"/>
    </xf>
    <xf numFmtId="0" fontId="2" fillId="0" borderId="0" xfId="0" applyFont="1"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0" fillId="0" borderId="0" xfId="0" applyAlignment="1" applyProtection="1">
      <alignment horizontal="left" vertical="center"/>
      <protection hidden="1"/>
    </xf>
    <xf numFmtId="0" fontId="0" fillId="0" borderId="14" xfId="0" applyBorder="1" applyAlignment="1" applyProtection="1">
      <alignment horizontal="right" vertical="center"/>
      <protection hidden="1"/>
    </xf>
    <xf numFmtId="0" fontId="7" fillId="0" borderId="14" xfId="0" applyFont="1" applyBorder="1" applyAlignment="1" applyProtection="1">
      <alignment horizontal="right" vertical="center"/>
      <protection hidden="1"/>
    </xf>
    <xf numFmtId="0" fontId="7" fillId="0" borderId="14" xfId="0" applyFont="1" applyBorder="1" applyAlignment="1" applyProtection="1">
      <alignment vertical="center"/>
      <protection hidden="1"/>
    </xf>
    <xf numFmtId="0" fontId="7" fillId="0" borderId="14" xfId="0" applyFont="1" applyBorder="1" applyAlignment="1" applyProtection="1">
      <alignment horizontal="left" vertical="center"/>
      <protection hidden="1"/>
    </xf>
    <xf numFmtId="0" fontId="0" fillId="0" borderId="14" xfId="0" applyBorder="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6" fillId="0" borderId="0" xfId="0" applyFont="1" applyAlignment="1" applyProtection="1">
      <alignment horizontal="center" vertical="center"/>
      <protection hidden="1"/>
    </xf>
    <xf numFmtId="0" fontId="37" fillId="0" borderId="0" xfId="0" applyFont="1" applyAlignment="1" applyProtection="1">
      <alignment vertical="center"/>
      <protection hidden="1"/>
    </xf>
    <xf numFmtId="0" fontId="24" fillId="0" borderId="0" xfId="0" applyFont="1" applyAlignment="1" applyProtection="1">
      <alignment vertical="center"/>
      <protection hidden="1"/>
    </xf>
    <xf numFmtId="0" fontId="8" fillId="0" borderId="8" xfId="0" applyFont="1" applyBorder="1" applyAlignment="1" applyProtection="1">
      <alignment vertical="center"/>
      <protection hidden="1"/>
    </xf>
    <xf numFmtId="0" fontId="0" fillId="0" borderId="8" xfId="0" applyBorder="1" applyAlignment="1">
      <alignment vertical="center"/>
    </xf>
    <xf numFmtId="0" fontId="0" fillId="0" borderId="8" xfId="0" applyBorder="1" applyAlignment="1">
      <alignment horizontal="left" vertical="center" wrapText="1"/>
    </xf>
    <xf numFmtId="0" fontId="0" fillId="0" borderId="9" xfId="0" applyBorder="1" applyAlignment="1" applyProtection="1">
      <alignment vertical="center"/>
      <protection hidden="1"/>
    </xf>
    <xf numFmtId="0" fontId="8" fillId="0" borderId="9" xfId="0" applyFont="1" applyBorder="1" applyAlignment="1" applyProtection="1">
      <alignment vertical="center"/>
      <protection hidden="1"/>
    </xf>
    <xf numFmtId="0" fontId="0" fillId="0" borderId="9" xfId="0" applyBorder="1" applyAlignment="1">
      <alignment horizontal="left" vertical="center" wrapText="1"/>
    </xf>
    <xf numFmtId="0" fontId="0" fillId="0" borderId="8" xfId="0" applyBorder="1" applyAlignment="1">
      <alignment vertical="center" wrapText="1"/>
    </xf>
    <xf numFmtId="0" fontId="0" fillId="0" borderId="8" xfId="0" applyBorder="1" applyAlignment="1" applyProtection="1">
      <alignment vertical="center"/>
      <protection hidden="1"/>
    </xf>
    <xf numFmtId="0" fontId="25" fillId="0" borderId="8" xfId="0" applyFont="1" applyBorder="1" applyAlignment="1" applyProtection="1">
      <alignment vertical="center" wrapText="1"/>
      <protection hidden="1"/>
    </xf>
    <xf numFmtId="0" fontId="0" fillId="0" borderId="8" xfId="0" applyBorder="1" applyAlignment="1" applyProtection="1">
      <alignment vertical="center" wrapText="1"/>
      <protection hidden="1"/>
    </xf>
    <xf numFmtId="0" fontId="0" fillId="0" borderId="8" xfId="0" applyBorder="1" applyAlignment="1" applyProtection="1">
      <alignment horizontal="left" vertical="center" wrapText="1"/>
      <protection hidden="1"/>
    </xf>
    <xf numFmtId="0" fontId="0" fillId="0" borderId="9" xfId="0" applyBorder="1" applyAlignment="1">
      <alignment vertical="center" wrapText="1"/>
    </xf>
    <xf numFmtId="0" fontId="25" fillId="0" borderId="9" xfId="0" applyFont="1"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9"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Alignment="1" applyProtection="1">
      <alignment vertical="center"/>
      <protection hidden="1"/>
    </xf>
    <xf numFmtId="0" fontId="0" fillId="0" borderId="9" xfId="0" applyBorder="1" applyAlignment="1">
      <alignment vertical="center"/>
    </xf>
    <xf numFmtId="0" fontId="0" fillId="0" borderId="22" xfId="0" applyBorder="1" applyAlignment="1">
      <alignment vertical="center"/>
    </xf>
    <xf numFmtId="0" fontId="3" fillId="0" borderId="23" xfId="0" applyFont="1" applyBorder="1" applyAlignment="1">
      <alignment horizontal="left" vertical="center"/>
    </xf>
    <xf numFmtId="0" fontId="2" fillId="0" borderId="0" xfId="0" applyFont="1" applyAlignment="1">
      <alignment vertical="center" wrapText="1"/>
    </xf>
    <xf numFmtId="3" fontId="2" fillId="0" borderId="0" xfId="0" applyNumberFormat="1" applyFont="1" applyAlignment="1">
      <alignment vertical="center" wrapText="1"/>
    </xf>
    <xf numFmtId="3" fontId="2" fillId="0" borderId="0" xfId="0" applyNumberFormat="1" applyFont="1" applyAlignment="1">
      <alignment vertical="center"/>
    </xf>
    <xf numFmtId="1" fontId="2" fillId="0" borderId="0" xfId="0" applyNumberFormat="1" applyFont="1" applyAlignment="1">
      <alignment vertical="center" wrapText="1"/>
    </xf>
    <xf numFmtId="0" fontId="2" fillId="0" borderId="0" xfId="0" applyFont="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1" fillId="3" borderId="11" xfId="0" applyFont="1" applyFill="1" applyBorder="1" applyAlignment="1" applyProtection="1">
      <alignment horizontal="center" vertical="center"/>
      <protection hidden="1"/>
    </xf>
    <xf numFmtId="0" fontId="2" fillId="0" borderId="11"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0" xfId="0" applyFont="1" applyAlignment="1">
      <alignment horizontal="right" vertical="center" wrapText="1"/>
    </xf>
    <xf numFmtId="0" fontId="58" fillId="0" borderId="29" xfId="0" applyFont="1" applyBorder="1" applyAlignment="1">
      <alignment horizontal="center" vertical="center" wrapText="1"/>
    </xf>
    <xf numFmtId="0" fontId="59" fillId="0" borderId="29" xfId="0" applyFont="1" applyBorder="1" applyAlignment="1">
      <alignment horizontal="center" vertical="center" wrapText="1"/>
    </xf>
    <xf numFmtId="0" fontId="29" fillId="0" borderId="11" xfId="0" applyFont="1" applyBorder="1" applyAlignment="1" applyProtection="1">
      <alignment horizontal="center" vertical="center"/>
      <protection locked="0"/>
    </xf>
    <xf numFmtId="0" fontId="2" fillId="0" borderId="0" xfId="0" applyFont="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6" xfId="0" applyFont="1" applyBorder="1" applyAlignment="1">
      <alignment vertical="center"/>
    </xf>
    <xf numFmtId="0" fontId="2" fillId="0" borderId="31" xfId="0" applyFont="1" applyBorder="1" applyAlignment="1">
      <alignment vertical="center"/>
    </xf>
    <xf numFmtId="0" fontId="2" fillId="0" borderId="2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horizontal="left" vertical="center"/>
    </xf>
    <xf numFmtId="1" fontId="2" fillId="0" borderId="34" xfId="0" applyNumberFormat="1" applyFont="1" applyBorder="1" applyAlignment="1">
      <alignment horizontal="left" vertical="center"/>
    </xf>
    <xf numFmtId="0" fontId="12" fillId="0" borderId="14" xfId="0" applyFont="1" applyBorder="1" applyAlignment="1" applyProtection="1">
      <alignment horizontal="center" vertical="top" wrapText="1"/>
      <protection hidden="1"/>
    </xf>
    <xf numFmtId="0" fontId="26" fillId="7" borderId="0" xfId="0" applyFont="1" applyFill="1" applyAlignment="1" applyProtection="1">
      <alignment horizontal="center" vertical="center"/>
      <protection hidden="1"/>
    </xf>
    <xf numFmtId="49" fontId="30" fillId="5" borderId="35"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center"/>
    </xf>
    <xf numFmtId="49" fontId="30" fillId="5" borderId="35" xfId="0" applyNumberFormat="1" applyFont="1" applyFill="1" applyBorder="1" applyAlignment="1" applyProtection="1">
      <alignment horizontal="center" vertical="center"/>
      <protection hidden="1"/>
    </xf>
    <xf numFmtId="0" fontId="47" fillId="0" borderId="0" xfId="0" applyFont="1" applyAlignment="1" applyProtection="1">
      <alignment vertical="center" wrapText="1"/>
      <protection hidden="1"/>
    </xf>
    <xf numFmtId="0" fontId="60" fillId="0" borderId="0" xfId="0" applyFont="1" applyAlignment="1" applyProtection="1">
      <alignment horizontal="right" vertical="center"/>
      <protection hidden="1"/>
    </xf>
    <xf numFmtId="0" fontId="63" fillId="2" borderId="10" xfId="0" applyFont="1" applyFill="1" applyBorder="1" applyAlignment="1" applyProtection="1">
      <alignment horizontal="center" vertical="center"/>
      <protection hidden="1"/>
    </xf>
    <xf numFmtId="166" fontId="9" fillId="0" borderId="5" xfId="0" applyNumberFormat="1" applyFont="1" applyBorder="1" applyAlignment="1" applyProtection="1">
      <alignment horizontal="right" vertical="center" shrinkToFit="1"/>
      <protection hidden="1"/>
    </xf>
    <xf numFmtId="0" fontId="61" fillId="0" borderId="0" xfId="0" applyFont="1" applyAlignment="1" applyProtection="1">
      <alignment horizontal="left" vertical="center"/>
      <protection hidden="1"/>
    </xf>
    <xf numFmtId="0" fontId="63" fillId="0" borderId="0" xfId="0" applyFont="1" applyAlignment="1" applyProtection="1">
      <alignment horizontal="center" vertical="center"/>
      <protection hidden="1"/>
    </xf>
    <xf numFmtId="0" fontId="65" fillId="0" borderId="0" xfId="0" applyFont="1" applyAlignment="1" applyProtection="1">
      <alignment horizontal="right" vertical="center"/>
      <protection hidden="1"/>
    </xf>
    <xf numFmtId="0" fontId="68" fillId="0" borderId="0" xfId="0" applyFont="1" applyAlignment="1" applyProtection="1">
      <alignment vertical="center" wrapText="1"/>
      <protection hidden="1"/>
    </xf>
    <xf numFmtId="0" fontId="47" fillId="0" borderId="0" xfId="0" applyFont="1" applyAlignment="1" applyProtection="1">
      <alignment horizontal="center" vertical="center"/>
      <protection hidden="1"/>
    </xf>
    <xf numFmtId="0" fontId="47" fillId="0" borderId="0" xfId="0" applyFont="1" applyAlignment="1" applyProtection="1">
      <alignment horizontal="left" vertical="center" wrapText="1"/>
      <protection hidden="1"/>
    </xf>
    <xf numFmtId="3" fontId="66" fillId="0" borderId="0" xfId="0" applyNumberFormat="1" applyFont="1" applyAlignment="1" applyProtection="1">
      <alignment horizontal="center" vertical="center"/>
      <protection hidden="1"/>
    </xf>
    <xf numFmtId="0" fontId="66"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70" fillId="2" borderId="10" xfId="0" applyFont="1" applyFill="1" applyBorder="1" applyAlignment="1" applyProtection="1">
      <alignment horizontal="right" vertical="center"/>
      <protection hidden="1"/>
    </xf>
    <xf numFmtId="0" fontId="47" fillId="8" borderId="0" xfId="0" applyFont="1" applyFill="1" applyAlignment="1" applyProtection="1">
      <alignment horizontal="left" vertical="center"/>
      <protection hidden="1"/>
    </xf>
    <xf numFmtId="164" fontId="4" fillId="0" borderId="6" xfId="0" applyNumberFormat="1" applyFont="1" applyBorder="1" applyAlignment="1">
      <alignment horizontal="center" vertical="center"/>
    </xf>
    <xf numFmtId="164" fontId="4" fillId="0" borderId="36" xfId="0" applyNumberFormat="1" applyFont="1" applyBorder="1" applyAlignment="1">
      <alignment horizontal="center" vertical="center"/>
    </xf>
    <xf numFmtId="0" fontId="30" fillId="6" borderId="4" xfId="0" applyFont="1" applyFill="1" applyBorder="1" applyAlignment="1">
      <alignment horizontal="center" vertical="center" wrapText="1"/>
    </xf>
    <xf numFmtId="0" fontId="30" fillId="6" borderId="0" xfId="0" applyFont="1" applyFill="1" applyAlignment="1">
      <alignment horizontal="center" vertical="center" wrapText="1"/>
    </xf>
    <xf numFmtId="0" fontId="19" fillId="6" borderId="0" xfId="0" applyFont="1" applyFill="1" applyAlignment="1">
      <alignment horizontal="center" vertical="center"/>
    </xf>
    <xf numFmtId="0" fontId="30" fillId="6" borderId="0" xfId="0" applyFont="1" applyFill="1" applyAlignment="1">
      <alignment horizontal="center" vertical="center"/>
    </xf>
    <xf numFmtId="0" fontId="30" fillId="6" borderId="29" xfId="0" applyFont="1" applyFill="1" applyBorder="1" applyAlignment="1">
      <alignment horizontal="center" vertical="center" wrapText="1"/>
    </xf>
    <xf numFmtId="164" fontId="15" fillId="0" borderId="5" xfId="0" applyNumberFormat="1" applyFont="1" applyBorder="1" applyAlignment="1">
      <alignment horizontal="center" vertical="center"/>
    </xf>
    <xf numFmtId="164" fontId="15" fillId="0" borderId="6" xfId="0" applyNumberFormat="1" applyFont="1" applyBorder="1" applyAlignment="1">
      <alignment horizontal="center" vertical="center"/>
    </xf>
    <xf numFmtId="165" fontId="11" fillId="0" borderId="20" xfId="0" applyNumberFormat="1" applyFont="1" applyBorder="1" applyAlignment="1">
      <alignment horizontal="center" vertical="center"/>
    </xf>
    <xf numFmtId="165" fontId="11" fillId="0" borderId="21" xfId="0" applyNumberFormat="1" applyFont="1" applyBorder="1" applyAlignment="1">
      <alignment horizontal="center" vertical="center"/>
    </xf>
    <xf numFmtId="0" fontId="39" fillId="0" borderId="11" xfId="0" applyFont="1" applyBorder="1" applyAlignment="1" applyProtection="1">
      <alignment horizontal="center" vertical="center"/>
      <protection hidden="1"/>
    </xf>
    <xf numFmtId="0" fontId="12" fillId="0" borderId="36" xfId="0" applyFont="1" applyBorder="1" applyAlignment="1" applyProtection="1">
      <alignment vertical="center" wrapText="1"/>
      <protection locked="0"/>
    </xf>
    <xf numFmtId="49" fontId="4" fillId="0" borderId="5"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49" fontId="4" fillId="0" borderId="6" xfId="0" applyNumberFormat="1" applyFont="1" applyBorder="1" applyAlignment="1" applyProtection="1">
      <alignment horizontal="center" vertical="center"/>
      <protection locked="0"/>
    </xf>
    <xf numFmtId="4" fontId="9" fillId="0" borderId="5" xfId="0" applyNumberFormat="1" applyFont="1" applyBorder="1" applyAlignment="1" applyProtection="1">
      <alignment horizontal="right" vertical="center" shrinkToFit="1"/>
      <protection hidden="1"/>
    </xf>
    <xf numFmtId="4" fontId="5" fillId="0" borderId="5" xfId="0" applyNumberFormat="1" applyFont="1" applyBorder="1" applyAlignment="1" applyProtection="1">
      <alignment horizontal="right" vertical="center" shrinkToFit="1"/>
      <protection locked="0"/>
    </xf>
    <xf numFmtId="4" fontId="5" fillId="0" borderId="6" xfId="0" applyNumberFormat="1" applyFont="1" applyBorder="1" applyAlignment="1" applyProtection="1">
      <alignment horizontal="right" vertical="center" shrinkToFit="1"/>
      <protection locked="0"/>
    </xf>
    <xf numFmtId="4" fontId="9" fillId="0" borderId="6" xfId="0" applyNumberFormat="1" applyFont="1" applyBorder="1" applyAlignment="1" applyProtection="1">
      <alignment horizontal="right" vertical="center" shrinkToFit="1"/>
      <protection hidden="1"/>
    </xf>
    <xf numFmtId="4" fontId="5" fillId="0" borderId="36" xfId="0" applyNumberFormat="1" applyFont="1" applyBorder="1" applyAlignment="1" applyProtection="1">
      <alignment vertical="center" wrapText="1"/>
      <protection locked="0"/>
    </xf>
    <xf numFmtId="4" fontId="5" fillId="0" borderId="36" xfId="0" applyNumberFormat="1" applyFont="1" applyBorder="1" applyAlignment="1" applyProtection="1">
      <alignment horizontal="right" vertical="center" shrinkToFit="1"/>
      <protection locked="0"/>
    </xf>
    <xf numFmtId="4" fontId="5" fillId="0" borderId="5" xfId="0" applyNumberFormat="1" applyFont="1" applyBorder="1" applyAlignment="1" applyProtection="1">
      <alignment vertical="center"/>
      <protection locked="0"/>
    </xf>
    <xf numFmtId="4" fontId="5" fillId="0" borderId="6" xfId="0" applyNumberFormat="1" applyFont="1" applyBorder="1" applyAlignment="1" applyProtection="1">
      <alignment vertical="center"/>
      <protection locked="0"/>
    </xf>
    <xf numFmtId="4" fontId="5" fillId="0" borderId="5" xfId="0" applyNumberFormat="1" applyFont="1" applyBorder="1" applyAlignment="1" applyProtection="1">
      <alignment vertical="center" shrinkToFit="1"/>
      <protection locked="0"/>
    </xf>
    <xf numFmtId="4" fontId="9" fillId="0" borderId="5" xfId="0" applyNumberFormat="1" applyFont="1" applyBorder="1" applyAlignment="1" applyProtection="1">
      <alignment vertical="center"/>
      <protection hidden="1"/>
    </xf>
    <xf numFmtId="4" fontId="9" fillId="0" borderId="6" xfId="0" applyNumberFormat="1" applyFont="1" applyBorder="1" applyAlignment="1" applyProtection="1">
      <alignment vertical="center"/>
      <protection hidden="1"/>
    </xf>
    <xf numFmtId="4" fontId="2" fillId="0" borderId="20" xfId="0" applyNumberFormat="1" applyFont="1" applyBorder="1" applyAlignment="1" applyProtection="1">
      <alignment vertical="center" shrinkToFit="1"/>
      <protection locked="0"/>
    </xf>
    <xf numFmtId="4" fontId="57" fillId="0" borderId="20" xfId="0" applyNumberFormat="1" applyFont="1" applyBorder="1" applyAlignment="1" applyProtection="1">
      <alignment vertical="center" shrinkToFit="1"/>
      <protection hidden="1"/>
    </xf>
    <xf numFmtId="4" fontId="57" fillId="0" borderId="21" xfId="0" applyNumberFormat="1" applyFont="1" applyBorder="1" applyAlignment="1" applyProtection="1">
      <alignment vertical="center" shrinkToFit="1"/>
      <protection hidden="1"/>
    </xf>
    <xf numFmtId="49" fontId="2" fillId="0" borderId="0" xfId="0" applyNumberFormat="1" applyFont="1" applyAlignment="1">
      <alignment vertical="center"/>
    </xf>
    <xf numFmtId="164" fontId="75" fillId="0" borderId="5" xfId="0" applyNumberFormat="1" applyFont="1" applyBorder="1" applyAlignment="1">
      <alignment horizontal="center" vertical="center"/>
    </xf>
    <xf numFmtId="164" fontId="75" fillId="0" borderId="6" xfId="0" applyNumberFormat="1" applyFont="1" applyBorder="1" applyAlignment="1">
      <alignment horizontal="center" vertical="center"/>
    </xf>
    <xf numFmtId="164" fontId="76" fillId="0" borderId="5" xfId="0" applyNumberFormat="1" applyFont="1" applyBorder="1" applyAlignment="1">
      <alignment horizontal="center" vertical="center"/>
    </xf>
    <xf numFmtId="3" fontId="5" fillId="0" borderId="5" xfId="0" applyNumberFormat="1" applyFont="1" applyBorder="1" applyAlignment="1" applyProtection="1">
      <alignment horizontal="right" vertical="center" shrinkToFit="1"/>
      <protection locked="0"/>
    </xf>
    <xf numFmtId="2" fontId="1" fillId="0" borderId="0" xfId="0" applyNumberFormat="1" applyFont="1" applyAlignment="1">
      <alignment vertical="center"/>
    </xf>
    <xf numFmtId="49" fontId="1" fillId="0" borderId="0" xfId="0" applyNumberFormat="1" applyFont="1" applyAlignment="1">
      <alignment vertical="center"/>
    </xf>
    <xf numFmtId="0" fontId="39" fillId="0" borderId="39" xfId="0" applyFont="1" applyBorder="1" applyAlignment="1" applyProtection="1">
      <alignment vertical="center" wrapText="1"/>
      <protection hidden="1"/>
    </xf>
    <xf numFmtId="0" fontId="39" fillId="0" borderId="40" xfId="0" applyFont="1" applyBorder="1" applyAlignment="1" applyProtection="1">
      <alignment vertical="center" wrapText="1"/>
      <protection hidden="1"/>
    </xf>
    <xf numFmtId="0" fontId="39" fillId="0" borderId="47" xfId="0" applyFont="1" applyBorder="1" applyAlignment="1" applyProtection="1">
      <alignment vertical="center" wrapText="1"/>
      <protection hidden="1"/>
    </xf>
    <xf numFmtId="0" fontId="18" fillId="3" borderId="39" xfId="0" applyFont="1" applyFill="1" applyBorder="1" applyAlignment="1" applyProtection="1">
      <alignment horizontal="center" vertical="center"/>
      <protection hidden="1"/>
    </xf>
    <xf numFmtId="0" fontId="18" fillId="3" borderId="40" xfId="0" applyFont="1" applyFill="1" applyBorder="1" applyAlignment="1" applyProtection="1">
      <alignment horizontal="center" vertical="center"/>
      <protection hidden="1"/>
    </xf>
    <xf numFmtId="0" fontId="18" fillId="3" borderId="47" xfId="0" applyFont="1" applyFill="1" applyBorder="1" applyAlignment="1" applyProtection="1">
      <alignment horizontal="center" vertical="center"/>
      <protection hidden="1"/>
    </xf>
    <xf numFmtId="0" fontId="39" fillId="0" borderId="39" xfId="0" applyFont="1" applyBorder="1" applyAlignment="1" applyProtection="1">
      <alignment vertical="center"/>
      <protection hidden="1"/>
    </xf>
    <xf numFmtId="0" fontId="39" fillId="0" borderId="40" xfId="0" applyFont="1" applyBorder="1" applyAlignment="1" applyProtection="1">
      <alignment vertical="center"/>
      <protection hidden="1"/>
    </xf>
    <xf numFmtId="0" fontId="39" fillId="0" borderId="47" xfId="0" applyFont="1" applyBorder="1" applyAlignment="1" applyProtection="1">
      <alignment vertical="center"/>
      <protection hidden="1"/>
    </xf>
    <xf numFmtId="0" fontId="11" fillId="0" borderId="39" xfId="0" applyFont="1" applyBorder="1" applyAlignment="1" applyProtection="1">
      <alignment wrapText="1"/>
      <protection hidden="1"/>
    </xf>
    <xf numFmtId="0" fontId="39" fillId="0" borderId="40" xfId="0" applyFont="1" applyBorder="1" applyAlignment="1" applyProtection="1">
      <alignment wrapText="1"/>
      <protection hidden="1"/>
    </xf>
    <xf numFmtId="0" fontId="39" fillId="0" borderId="47" xfId="0" applyFont="1" applyBorder="1" applyAlignment="1" applyProtection="1">
      <alignment wrapText="1"/>
      <protection hidden="1"/>
    </xf>
    <xf numFmtId="0" fontId="59" fillId="0" borderId="40" xfId="1" applyFont="1" applyBorder="1" applyAlignment="1" applyProtection="1">
      <alignment vertical="center"/>
      <protection hidden="1"/>
    </xf>
    <xf numFmtId="0" fontId="59" fillId="0" borderId="40" xfId="1" applyFont="1" applyBorder="1" applyAlignment="1" applyProtection="1">
      <alignment vertical="center"/>
    </xf>
    <xf numFmtId="0" fontId="59" fillId="0" borderId="47" xfId="1" applyFont="1" applyBorder="1" applyAlignment="1" applyProtection="1">
      <alignment vertical="center"/>
    </xf>
    <xf numFmtId="0" fontId="0" fillId="0" borderId="40" xfId="0" applyBorder="1" applyAlignment="1" applyProtection="1">
      <alignment vertical="center"/>
      <protection hidden="1"/>
    </xf>
    <xf numFmtId="0" fontId="0" fillId="0" borderId="40" xfId="0" applyBorder="1"/>
    <xf numFmtId="0" fontId="3" fillId="0" borderId="0" xfId="0" applyFont="1" applyAlignment="1" applyProtection="1">
      <alignment horizontal="right" vertical="center" wrapText="1"/>
      <protection hidden="1"/>
    </xf>
    <xf numFmtId="0" fontId="3" fillId="0" borderId="0" xfId="0" applyFont="1" applyAlignment="1">
      <alignment horizontal="right" vertical="center" wrapText="1"/>
    </xf>
    <xf numFmtId="0" fontId="3" fillId="0" borderId="0" xfId="0" applyFont="1" applyAlignment="1" applyProtection="1">
      <alignment horizontal="right" vertical="center"/>
      <protection hidden="1"/>
    </xf>
    <xf numFmtId="0" fontId="42" fillId="0" borderId="23" xfId="0" applyFont="1" applyBorder="1" applyAlignment="1" applyProtection="1">
      <alignment horizontal="left" vertical="center" wrapText="1" indent="2"/>
      <protection hidden="1"/>
    </xf>
    <xf numFmtId="0" fontId="54" fillId="0" borderId="0" xfId="0" applyFont="1" applyAlignment="1">
      <alignment horizontal="left" vertical="center" wrapText="1" indent="2"/>
    </xf>
    <xf numFmtId="0" fontId="3" fillId="0" borderId="0" xfId="0" applyFont="1" applyAlignment="1">
      <alignment horizontal="right" vertical="center"/>
    </xf>
    <xf numFmtId="0" fontId="0" fillId="0" borderId="0" xfId="0" applyAlignment="1">
      <alignment horizontal="right" vertical="center"/>
    </xf>
    <xf numFmtId="0" fontId="4" fillId="0" borderId="52" xfId="0" applyFont="1" applyBorder="1" applyAlignment="1" applyProtection="1">
      <alignment horizontal="left" vertical="center" wrapText="1" indent="2"/>
      <protection hidden="1"/>
    </xf>
    <xf numFmtId="0" fontId="4" fillId="0" borderId="0" xfId="0" applyFont="1" applyAlignment="1" applyProtection="1">
      <alignment horizontal="left" vertical="center" wrapText="1" indent="2"/>
      <protection hidden="1"/>
    </xf>
    <xf numFmtId="0" fontId="8" fillId="0" borderId="0" xfId="0" applyFont="1" applyAlignment="1">
      <alignment horizontal="right" vertical="center" shrinkToFit="1"/>
    </xf>
    <xf numFmtId="0" fontId="3" fillId="0" borderId="23" xfId="0" applyFont="1" applyBorder="1" applyAlignment="1" applyProtection="1">
      <alignment horizontal="right" vertical="center"/>
      <protection hidden="1"/>
    </xf>
    <xf numFmtId="49" fontId="14" fillId="2" borderId="46" xfId="0" applyNumberFormat="1" applyFont="1" applyFill="1" applyBorder="1" applyAlignment="1" applyProtection="1">
      <alignment horizontal="center" vertical="center"/>
      <protection locked="0"/>
    </xf>
    <xf numFmtId="49" fontId="14" fillId="0" borderId="44" xfId="0" applyNumberFormat="1" applyFon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35" fillId="0" borderId="0" xfId="0" applyFont="1" applyAlignment="1" applyProtection="1">
      <alignment horizontal="left" vertical="center" shrinkToFit="1"/>
      <protection hidden="1"/>
    </xf>
    <xf numFmtId="0" fontId="0" fillId="0" borderId="0" xfId="0" applyAlignment="1">
      <alignment horizontal="left" vertical="center" shrinkToFit="1"/>
    </xf>
    <xf numFmtId="49" fontId="6" fillId="2" borderId="46" xfId="1" applyNumberFormat="1" applyFill="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49" fontId="66" fillId="0" borderId="0" xfId="0" applyNumberFormat="1" applyFont="1" applyAlignment="1" applyProtection="1">
      <alignment horizontal="center" vertical="center"/>
      <protection hidden="1"/>
    </xf>
    <xf numFmtId="0" fontId="65" fillId="0" borderId="0" xfId="0" applyFont="1" applyAlignment="1" applyProtection="1">
      <alignment horizontal="right" vertical="center" wrapText="1"/>
      <protection hidden="1"/>
    </xf>
    <xf numFmtId="0" fontId="47" fillId="0" borderId="0" xfId="0" applyFont="1" applyAlignment="1" applyProtection="1">
      <alignment vertical="center" wrapText="1"/>
      <protection hidden="1"/>
    </xf>
    <xf numFmtId="0" fontId="67" fillId="0" borderId="0" xfId="0" applyFont="1" applyAlignment="1" applyProtection="1">
      <alignment horizontal="left" vertical="center"/>
      <protection hidden="1"/>
    </xf>
    <xf numFmtId="0" fontId="8" fillId="0" borderId="0" xfId="0" applyFont="1" applyAlignment="1" applyProtection="1">
      <alignment vertical="center"/>
      <protection hidden="1"/>
    </xf>
    <xf numFmtId="0" fontId="0" fillId="0" borderId="0" xfId="0" applyAlignment="1">
      <alignment vertical="center"/>
    </xf>
    <xf numFmtId="0" fontId="8" fillId="0" borderId="50" xfId="0" applyFont="1" applyBorder="1" applyAlignment="1" applyProtection="1">
      <alignment vertical="center"/>
      <protection hidden="1"/>
    </xf>
    <xf numFmtId="0" fontId="0" fillId="0" borderId="50" xfId="0" applyBorder="1" applyAlignment="1">
      <alignment vertical="center"/>
    </xf>
    <xf numFmtId="0" fontId="8" fillId="0" borderId="50" xfId="0" applyFont="1" applyBorder="1" applyAlignment="1">
      <alignment vertical="center"/>
    </xf>
    <xf numFmtId="0" fontId="60" fillId="0" borderId="0" xfId="0" applyFont="1" applyAlignment="1" applyProtection="1">
      <alignment horizontal="right" vertical="center"/>
      <protection hidden="1"/>
    </xf>
    <xf numFmtId="0" fontId="4" fillId="0" borderId="0" xfId="0" applyFont="1" applyAlignment="1">
      <alignment horizontal="left" vertical="center" wrapText="1" indent="2"/>
    </xf>
    <xf numFmtId="0" fontId="22" fillId="0" borderId="0" xfId="0" applyFont="1" applyAlignment="1" applyProtection="1">
      <alignment horizontal="left" vertical="center"/>
      <protection hidden="1"/>
    </xf>
    <xf numFmtId="0" fontId="8" fillId="0" borderId="22" xfId="0" applyFont="1" applyBorder="1" applyAlignment="1">
      <alignment vertical="center"/>
    </xf>
    <xf numFmtId="0" fontId="14" fillId="2" borderId="46" xfId="0" applyFont="1" applyFill="1" applyBorder="1" applyAlignment="1" applyProtection="1">
      <alignment horizontal="left" vertical="center" shrinkToFit="1"/>
      <protection locked="0"/>
    </xf>
    <xf numFmtId="0" fontId="0" fillId="0" borderId="44" xfId="0" applyBorder="1" applyAlignment="1" applyProtection="1">
      <alignment vertical="center" shrinkToFit="1"/>
      <protection locked="0"/>
    </xf>
    <xf numFmtId="0" fontId="0" fillId="0" borderId="45" xfId="0" applyBorder="1" applyAlignment="1" applyProtection="1">
      <alignment vertical="center" shrinkToFit="1"/>
      <protection locked="0"/>
    </xf>
    <xf numFmtId="0" fontId="65" fillId="0" borderId="0" xfId="0" applyFont="1" applyAlignment="1" applyProtection="1">
      <alignment horizontal="right" vertical="center"/>
      <protection hidden="1"/>
    </xf>
    <xf numFmtId="0" fontId="4" fillId="0" borderId="4" xfId="0" applyFont="1" applyBorder="1" applyAlignment="1" applyProtection="1">
      <alignment horizontal="left" vertical="center" wrapText="1" indent="2"/>
      <protection hidden="1"/>
    </xf>
    <xf numFmtId="0" fontId="67" fillId="0" borderId="0" xfId="0" applyFont="1" applyAlignment="1" applyProtection="1">
      <alignment horizontal="left" vertical="center" indent="2" shrinkToFit="1"/>
      <protection hidden="1"/>
    </xf>
    <xf numFmtId="0" fontId="42" fillId="0" borderId="0" xfId="0" applyFont="1" applyAlignment="1" applyProtection="1">
      <alignment horizontal="right" vertical="center" wrapText="1"/>
      <protection hidden="1"/>
    </xf>
    <xf numFmtId="0" fontId="54" fillId="0" borderId="0" xfId="0" applyFont="1" applyAlignment="1">
      <alignment vertical="center" wrapText="1"/>
    </xf>
    <xf numFmtId="0" fontId="15"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64" fillId="0" borderId="22" xfId="0" applyFont="1" applyBorder="1" applyAlignment="1" applyProtection="1">
      <alignment horizontal="left" vertical="center"/>
      <protection hidden="1"/>
    </xf>
    <xf numFmtId="0" fontId="61" fillId="0" borderId="0" xfId="0" applyFont="1" applyAlignment="1">
      <alignment horizontal="left" vertical="center"/>
    </xf>
    <xf numFmtId="0" fontId="24" fillId="0" borderId="22" xfId="0" applyFont="1" applyBorder="1" applyAlignment="1" applyProtection="1">
      <alignment vertical="center"/>
      <protection hidden="1"/>
    </xf>
    <xf numFmtId="0" fontId="43" fillId="0" borderId="0" xfId="0" applyFont="1" applyAlignment="1" applyProtection="1">
      <alignment vertical="center" wrapText="1"/>
      <protection hidden="1"/>
    </xf>
    <xf numFmtId="0" fontId="2" fillId="0" borderId="0" xfId="0" applyFont="1" applyAlignment="1">
      <alignment vertical="center" wrapText="1"/>
    </xf>
    <xf numFmtId="0" fontId="71" fillId="0" borderId="22" xfId="0" applyFont="1" applyBorder="1" applyAlignment="1" applyProtection="1">
      <alignment horizontal="left" vertical="center"/>
      <protection hidden="1"/>
    </xf>
    <xf numFmtId="0" fontId="71" fillId="0" borderId="49" xfId="0" applyFont="1" applyBorder="1" applyAlignment="1" applyProtection="1">
      <alignment horizontal="left" vertical="center"/>
      <protection hidden="1"/>
    </xf>
    <xf numFmtId="0" fontId="14" fillId="2" borderId="46" xfId="0" applyFont="1" applyFill="1" applyBorder="1" applyAlignment="1" applyProtection="1">
      <alignment vertical="center" shrinkToFit="1"/>
      <protection locked="0"/>
    </xf>
    <xf numFmtId="0" fontId="0" fillId="0" borderId="51" xfId="0" applyBorder="1" applyAlignment="1">
      <alignment vertical="center"/>
    </xf>
    <xf numFmtId="0" fontId="3" fillId="0" borderId="22" xfId="0" applyFont="1" applyBorder="1" applyAlignment="1">
      <alignment horizontal="right" vertical="center"/>
    </xf>
    <xf numFmtId="0" fontId="3" fillId="0" borderId="49" xfId="0" applyFont="1" applyBorder="1" applyAlignment="1">
      <alignment horizontal="right" vertical="center"/>
    </xf>
    <xf numFmtId="0" fontId="14" fillId="2" borderId="46" xfId="0" applyFont="1" applyFill="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40" fillId="2" borderId="46" xfId="1" applyFont="1" applyFill="1" applyBorder="1" applyAlignment="1" applyProtection="1">
      <alignment vertical="center"/>
      <protection locked="0"/>
    </xf>
    <xf numFmtId="0" fontId="40" fillId="0" borderId="44" xfId="0" applyFont="1" applyBorder="1" applyAlignment="1" applyProtection="1">
      <alignment vertical="center"/>
      <protection locked="0"/>
    </xf>
    <xf numFmtId="0" fontId="40" fillId="0" borderId="45" xfId="0" applyFont="1" applyBorder="1" applyAlignment="1" applyProtection="1">
      <alignment vertical="center"/>
      <protection locked="0"/>
    </xf>
    <xf numFmtId="0" fontId="0" fillId="0" borderId="45" xfId="0"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horizontal="right" vertical="center" wrapText="1"/>
    </xf>
    <xf numFmtId="0" fontId="14" fillId="0" borderId="44"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27" fillId="0" borderId="0" xfId="0" applyFont="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5" fillId="0" borderId="0" xfId="0" applyFont="1" applyAlignment="1" applyProtection="1">
      <alignment horizontal="center" vertical="center"/>
      <protection hidden="1"/>
    </xf>
    <xf numFmtId="0" fontId="36" fillId="0" borderId="0" xfId="0" applyFont="1" applyAlignment="1" applyProtection="1">
      <alignment horizontal="left" vertical="center"/>
      <protection hidden="1"/>
    </xf>
    <xf numFmtId="0" fontId="37" fillId="0" borderId="0" xfId="0" applyFont="1" applyAlignment="1" applyProtection="1">
      <alignment vertical="center"/>
      <protection hidden="1"/>
    </xf>
    <xf numFmtId="4" fontId="26" fillId="10" borderId="41" xfId="0" applyNumberFormat="1" applyFont="1" applyFill="1" applyBorder="1" applyAlignment="1" applyProtection="1">
      <alignment horizontal="center" vertical="center"/>
      <protection hidden="1"/>
    </xf>
    <xf numFmtId="4" fontId="26" fillId="4" borderId="14" xfId="0" applyNumberFormat="1" applyFont="1" applyFill="1" applyBorder="1" applyAlignment="1" applyProtection="1">
      <alignment horizontal="center" vertical="center"/>
      <protection hidden="1"/>
    </xf>
    <xf numFmtId="4" fontId="26" fillId="4" borderId="42" xfId="0" applyNumberFormat="1" applyFont="1"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0" fillId="0" borderId="0" xfId="0" applyAlignment="1">
      <alignment horizontal="center" vertical="center"/>
    </xf>
    <xf numFmtId="1" fontId="27" fillId="2" borderId="41" xfId="0" applyNumberFormat="1" applyFont="1" applyFill="1" applyBorder="1" applyAlignment="1" applyProtection="1">
      <alignment horizontal="center" vertical="center" shrinkToFit="1"/>
      <protection locked="0"/>
    </xf>
    <xf numFmtId="1" fontId="27" fillId="2" borderId="42" xfId="0" applyNumberFormat="1" applyFont="1" applyFill="1" applyBorder="1" applyAlignment="1" applyProtection="1">
      <alignment horizontal="center" vertical="center" shrinkToFit="1"/>
      <protection locked="0"/>
    </xf>
    <xf numFmtId="0" fontId="42" fillId="0" borderId="0" xfId="0" applyFont="1" applyAlignment="1" applyProtection="1">
      <alignment horizontal="left" vertical="top" wrapText="1" indent="2"/>
      <protection hidden="1"/>
    </xf>
    <xf numFmtId="0" fontId="54" fillId="0" borderId="0" xfId="0" applyFont="1" applyAlignment="1">
      <alignment horizontal="left" vertical="top" wrapText="1" indent="2"/>
    </xf>
    <xf numFmtId="0" fontId="42" fillId="0" borderId="48" xfId="0" applyFont="1" applyBorder="1" applyAlignment="1" applyProtection="1">
      <alignment horizontal="center" vertical="center"/>
      <protection hidden="1"/>
    </xf>
    <xf numFmtId="0" fontId="42" fillId="0" borderId="48" xfId="0" applyFont="1" applyBorder="1" applyAlignment="1" applyProtection="1">
      <alignment vertical="center"/>
      <protection hidden="1"/>
    </xf>
    <xf numFmtId="0" fontId="0" fillId="0" borderId="49" xfId="0" applyBorder="1" applyAlignment="1">
      <alignment horizontal="right" vertical="center" wrapText="1"/>
    </xf>
    <xf numFmtId="49" fontId="14" fillId="2" borderId="46" xfId="0" applyNumberFormat="1" applyFont="1" applyFill="1" applyBorder="1" applyAlignment="1" applyProtection="1">
      <alignment horizontal="left" vertical="center"/>
      <protection locked="0"/>
    </xf>
    <xf numFmtId="49" fontId="14" fillId="0" borderId="44" xfId="0" applyNumberFormat="1" applyFont="1" applyBorder="1" applyAlignment="1" applyProtection="1">
      <alignment horizontal="left" vertical="center"/>
      <protection locked="0"/>
    </xf>
    <xf numFmtId="49" fontId="14" fillId="0" borderId="45" xfId="0" applyNumberFormat="1" applyFont="1" applyBorder="1" applyAlignment="1" applyProtection="1">
      <alignment horizontal="left" vertical="center"/>
      <protection locked="0"/>
    </xf>
    <xf numFmtId="0" fontId="42" fillId="0" borderId="50" xfId="0" applyFont="1" applyBorder="1" applyAlignment="1" applyProtection="1">
      <alignment horizontal="center" vertical="center"/>
      <protection hidden="1"/>
    </xf>
    <xf numFmtId="0" fontId="0" fillId="0" borderId="50" xfId="0" applyBorder="1" applyAlignment="1">
      <alignment horizontal="center" vertical="center"/>
    </xf>
    <xf numFmtId="14" fontId="14" fillId="2" borderId="41" xfId="0" applyNumberFormat="1" applyFont="1" applyFill="1" applyBorder="1" applyAlignment="1" applyProtection="1">
      <alignment horizontal="center" vertical="center"/>
      <protection locked="0"/>
    </xf>
    <xf numFmtId="14" fontId="0" fillId="2" borderId="42" xfId="0" applyNumberFormat="1" applyFill="1" applyBorder="1" applyAlignment="1" applyProtection="1">
      <alignment horizontal="center" vertical="center"/>
      <protection locked="0"/>
    </xf>
    <xf numFmtId="0" fontId="45" fillId="0" borderId="43"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0" fillId="9" borderId="39" xfId="0" applyFont="1" applyFill="1" applyBorder="1" applyAlignment="1" applyProtection="1">
      <alignment horizontal="left" vertical="center" wrapText="1"/>
      <protection hidden="1"/>
    </xf>
    <xf numFmtId="0" fontId="0" fillId="9" borderId="40" xfId="0" applyFill="1" applyBorder="1" applyAlignment="1" applyProtection="1">
      <alignment horizontal="left" vertical="center" wrapText="1"/>
      <protection hidden="1"/>
    </xf>
    <xf numFmtId="0" fontId="0" fillId="9" borderId="47" xfId="0" applyFill="1" applyBorder="1" applyAlignment="1" applyProtection="1">
      <alignment horizontal="left" vertical="center" wrapText="1"/>
      <protection hidden="1"/>
    </xf>
    <xf numFmtId="0" fontId="30" fillId="0" borderId="0" xfId="0" applyFont="1" applyAlignment="1" applyProtection="1">
      <alignment horizontal="right" vertical="center" shrinkToFit="1"/>
      <protection hidden="1"/>
    </xf>
    <xf numFmtId="0" fontId="69" fillId="0" borderId="0" xfId="0" applyFont="1" applyAlignment="1" applyProtection="1">
      <alignment horizontal="right" vertical="center" shrinkToFit="1"/>
      <protection hidden="1"/>
    </xf>
    <xf numFmtId="0" fontId="11" fillId="0" borderId="0" xfId="0" applyFont="1" applyAlignment="1" applyProtection="1">
      <alignment horizontal="right" vertical="center" shrinkToFit="1"/>
      <protection hidden="1"/>
    </xf>
    <xf numFmtId="0" fontId="0" fillId="0" borderId="29" xfId="0" applyBorder="1" applyAlignment="1">
      <alignment horizontal="right" vertical="center" shrinkToFit="1"/>
    </xf>
    <xf numFmtId="0" fontId="2" fillId="0" borderId="4" xfId="0" applyFont="1" applyBorder="1" applyAlignment="1" applyProtection="1">
      <alignment vertical="center"/>
      <protection hidden="1"/>
    </xf>
    <xf numFmtId="0" fontId="30" fillId="0" borderId="0" xfId="0" applyFont="1" applyAlignment="1" applyProtection="1">
      <alignment horizontal="left" vertical="center" indent="2"/>
      <protection hidden="1"/>
    </xf>
    <xf numFmtId="0" fontId="69" fillId="0" borderId="0" xfId="0" applyFont="1" applyAlignment="1" applyProtection="1">
      <alignment horizontal="left" vertical="center" indent="2"/>
      <protection hidden="1"/>
    </xf>
    <xf numFmtId="0" fontId="40" fillId="0" borderId="43" xfId="0" applyFont="1" applyBorder="1" applyAlignment="1" applyProtection="1">
      <alignment horizontal="center" vertical="center"/>
      <protection hidden="1"/>
    </xf>
    <xf numFmtId="0" fontId="0" fillId="0" borderId="38" xfId="0" applyBorder="1" applyAlignment="1">
      <alignment horizontal="center" vertical="center"/>
    </xf>
    <xf numFmtId="0" fontId="71" fillId="0" borderId="0" xfId="0" applyFont="1" applyAlignment="1" applyProtection="1">
      <alignment horizontal="left" vertical="center"/>
      <protection hidden="1"/>
    </xf>
    <xf numFmtId="0" fontId="60" fillId="0" borderId="0" xfId="0" applyFont="1" applyAlignment="1" applyProtection="1">
      <alignment horizontal="right" vertical="center" wrapText="1"/>
      <protection hidden="1"/>
    </xf>
    <xf numFmtId="0" fontId="61" fillId="0" borderId="0" xfId="0" applyFont="1" applyAlignment="1">
      <alignment horizontal="right" vertical="center" wrapText="1"/>
    </xf>
    <xf numFmtId="0" fontId="55" fillId="0" borderId="0" xfId="0" applyFont="1" applyAlignment="1" applyProtection="1">
      <alignment horizontal="left" vertical="center" indent="2"/>
      <protection hidden="1"/>
    </xf>
    <xf numFmtId="0" fontId="56" fillId="0" borderId="0" xfId="0" applyFont="1" applyAlignment="1">
      <alignment horizontal="left" vertical="center" indent="2"/>
    </xf>
    <xf numFmtId="49" fontId="14" fillId="0" borderId="45" xfId="0" applyNumberFormat="1" applyFon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0" fontId="44" fillId="0" borderId="22" xfId="0" applyFont="1" applyBorder="1" applyAlignment="1" applyProtection="1">
      <alignment horizontal="left" vertical="center" shrinkToFit="1"/>
      <protection hidden="1"/>
    </xf>
    <xf numFmtId="0" fontId="44" fillId="0" borderId="0" xfId="0" applyFont="1" applyAlignment="1" applyProtection="1">
      <alignment horizontal="left" vertical="center" shrinkToFit="1"/>
      <protection hidden="1"/>
    </xf>
    <xf numFmtId="0" fontId="44" fillId="0" borderId="0" xfId="0" applyFont="1" applyAlignment="1" applyProtection="1">
      <alignment vertical="center" shrinkToFit="1"/>
      <protection hidden="1"/>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59" xfId="0" applyFont="1" applyBorder="1" applyAlignment="1">
      <alignment horizontal="left" vertical="center" wrapText="1" indent="1"/>
    </xf>
    <xf numFmtId="0" fontId="5" fillId="0" borderId="60" xfId="0" applyFont="1" applyBorder="1" applyAlignment="1">
      <alignment horizontal="left" vertical="center" wrapText="1" indent="1"/>
    </xf>
    <xf numFmtId="0" fontId="5" fillId="0" borderId="61" xfId="0" applyFont="1" applyBorder="1" applyAlignment="1">
      <alignment horizontal="left" vertical="center" wrapText="1" inden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5" xfId="0" applyFont="1" applyBorder="1" applyAlignment="1">
      <alignment horizontal="left" vertical="center" wrapText="1" indent="1"/>
    </xf>
    <xf numFmtId="0" fontId="62" fillId="0" borderId="5" xfId="0" applyFont="1" applyBorder="1" applyAlignment="1">
      <alignment horizontal="left" vertical="center" wrapText="1"/>
    </xf>
    <xf numFmtId="0" fontId="14" fillId="11" borderId="56" xfId="0" applyFont="1" applyFill="1" applyBorder="1" applyAlignment="1" applyProtection="1">
      <alignment horizontal="center" vertical="center" wrapText="1"/>
      <protection hidden="1"/>
    </xf>
    <xf numFmtId="0" fontId="15" fillId="11" borderId="57"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58" xfId="0" applyFont="1" applyBorder="1" applyAlignment="1" applyProtection="1">
      <alignment horizontal="center" vertical="center" wrapText="1"/>
      <protection hidden="1"/>
    </xf>
    <xf numFmtId="0" fontId="14" fillId="0" borderId="0" xfId="0" applyFont="1" applyAlignment="1" applyProtection="1">
      <alignment horizontal="center" vertical="top" wrapText="1"/>
      <protection hidden="1"/>
    </xf>
    <xf numFmtId="0" fontId="39" fillId="0" borderId="0" xfId="0" applyFont="1" applyAlignment="1" applyProtection="1">
      <alignment horizontal="center" vertical="top" wrapText="1"/>
      <protection hidden="1"/>
    </xf>
    <xf numFmtId="0" fontId="39" fillId="0" borderId="58" xfId="0" applyFont="1" applyBorder="1" applyAlignment="1" applyProtection="1">
      <alignment horizontal="center" vertical="top" wrapText="1"/>
      <protection hidden="1"/>
    </xf>
    <xf numFmtId="0" fontId="12" fillId="2" borderId="39" xfId="0" applyFont="1" applyFill="1" applyBorder="1" applyAlignment="1" applyProtection="1">
      <alignment vertical="center" wrapText="1"/>
      <protection hidden="1"/>
    </xf>
    <xf numFmtId="0" fontId="12" fillId="2" borderId="40" xfId="0" applyFont="1" applyFill="1" applyBorder="1" applyAlignment="1" applyProtection="1">
      <alignment vertical="center" wrapText="1"/>
      <protection hidden="1"/>
    </xf>
    <xf numFmtId="0" fontId="12" fillId="2" borderId="47" xfId="0" applyFont="1" applyFill="1" applyBorder="1" applyAlignment="1" applyProtection="1">
      <alignment vertical="center" wrapText="1"/>
      <protection hidden="1"/>
    </xf>
    <xf numFmtId="0" fontId="18" fillId="0" borderId="14" xfId="0" applyFont="1" applyBorder="1" applyAlignment="1" applyProtection="1">
      <alignment horizontal="right" vertical="center" wrapText="1"/>
      <protection hidden="1"/>
    </xf>
    <xf numFmtId="0" fontId="0" fillId="0" borderId="14" xfId="0" applyBorder="1" applyAlignment="1">
      <alignment wrapText="1"/>
    </xf>
    <xf numFmtId="0" fontId="30" fillId="5" borderId="54" xfId="0" applyFont="1" applyFill="1" applyBorder="1" applyAlignment="1" applyProtection="1">
      <alignment horizontal="center" vertical="center" wrapText="1"/>
      <protection hidden="1"/>
    </xf>
    <xf numFmtId="0" fontId="30" fillId="5" borderId="15" xfId="0" applyFont="1" applyFill="1" applyBorder="1" applyAlignment="1" applyProtection="1">
      <alignment horizontal="center" vertical="center" wrapText="1"/>
      <protection hidden="1"/>
    </xf>
    <xf numFmtId="0" fontId="31" fillId="5" borderId="55"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wrapText="1"/>
      <protection hidden="1"/>
    </xf>
    <xf numFmtId="0" fontId="5" fillId="0" borderId="5" xfId="0" applyFont="1" applyBorder="1" applyAlignment="1">
      <alignment horizontal="left" vertical="center" wrapText="1" indent="2"/>
    </xf>
    <xf numFmtId="0" fontId="12" fillId="3" borderId="53" xfId="0" applyFont="1" applyFill="1" applyBorder="1" applyAlignment="1">
      <alignment horizontal="left" vertical="center" wrapText="1"/>
    </xf>
    <xf numFmtId="0" fontId="41" fillId="3" borderId="53" xfId="0" applyFont="1" applyFill="1" applyBorder="1" applyAlignment="1">
      <alignment horizontal="left" vertical="center" wrapText="1"/>
    </xf>
    <xf numFmtId="0" fontId="41" fillId="3" borderId="53" xfId="0" applyFont="1" applyFill="1" applyBorder="1" applyAlignment="1">
      <alignment vertical="center"/>
    </xf>
    <xf numFmtId="0" fontId="5" fillId="0" borderId="59" xfId="0" applyFont="1" applyBorder="1" applyAlignment="1">
      <alignment horizontal="left" vertical="center" wrapText="1" indent="2"/>
    </xf>
    <xf numFmtId="0" fontId="5" fillId="0" borderId="60" xfId="0" applyFont="1" applyBorder="1" applyAlignment="1">
      <alignment horizontal="left" vertical="center" wrapText="1" indent="2"/>
    </xf>
    <xf numFmtId="0" fontId="5" fillId="0" borderId="61" xfId="0" applyFont="1" applyBorder="1" applyAlignment="1">
      <alignment horizontal="left" vertical="center" wrapText="1" indent="2"/>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39" fillId="0" borderId="5" xfId="0" applyFont="1" applyBorder="1" applyAlignment="1">
      <alignment horizontal="left" vertical="center" wrapText="1" indent="1"/>
    </xf>
    <xf numFmtId="0" fontId="15" fillId="0" borderId="5" xfId="0" applyFont="1" applyBorder="1" applyAlignment="1">
      <alignment horizontal="left" vertical="center" wrapText="1"/>
    </xf>
    <xf numFmtId="0" fontId="39" fillId="0" borderId="5" xfId="0" applyFont="1" applyBorder="1" applyAlignment="1">
      <alignment horizontal="left" vertical="center" wrapText="1"/>
    </xf>
    <xf numFmtId="0" fontId="12" fillId="3" borderId="53" xfId="0" applyFont="1" applyFill="1" applyBorder="1" applyAlignment="1">
      <alignment vertical="center" wrapText="1"/>
    </xf>
    <xf numFmtId="0" fontId="9" fillId="0" borderId="6" xfId="0" applyFont="1" applyBorder="1" applyAlignment="1">
      <alignment horizontal="left" vertical="center" wrapText="1"/>
    </xf>
    <xf numFmtId="0" fontId="74" fillId="0" borderId="6" xfId="0" applyFont="1" applyBorder="1" applyAlignment="1">
      <alignment horizontal="left" vertical="center" wrapText="1"/>
    </xf>
    <xf numFmtId="0" fontId="12" fillId="3" borderId="5" xfId="0" applyFont="1" applyFill="1" applyBorder="1" applyAlignment="1">
      <alignment horizontal="left" vertical="center" wrapText="1"/>
    </xf>
    <xf numFmtId="0" fontId="12" fillId="3" borderId="5" xfId="0" applyFont="1" applyFill="1" applyBorder="1" applyAlignment="1">
      <alignment vertical="center" wrapText="1"/>
    </xf>
    <xf numFmtId="0" fontId="39" fillId="0" borderId="6" xfId="0" applyFont="1" applyBorder="1" applyAlignment="1">
      <alignment horizontal="left" vertical="center" wrapText="1"/>
    </xf>
    <xf numFmtId="0" fontId="9" fillId="0" borderId="5" xfId="0" applyFont="1" applyBorder="1" applyAlignment="1">
      <alignment horizontal="left" vertical="center" wrapText="1"/>
    </xf>
    <xf numFmtId="0" fontId="74" fillId="0" borderId="5" xfId="0" applyFont="1" applyBorder="1" applyAlignment="1">
      <alignment horizontal="left" vertical="center" wrapText="1"/>
    </xf>
    <xf numFmtId="0" fontId="12" fillId="12" borderId="39" xfId="0" applyFont="1" applyFill="1" applyBorder="1" applyAlignment="1" applyProtection="1">
      <alignment vertical="center" wrapText="1"/>
      <protection hidden="1"/>
    </xf>
    <xf numFmtId="0" fontId="12" fillId="12" borderId="40" xfId="0" applyFont="1" applyFill="1" applyBorder="1" applyAlignment="1" applyProtection="1">
      <alignment vertical="center" wrapText="1"/>
      <protection hidden="1"/>
    </xf>
    <xf numFmtId="0" fontId="12" fillId="12" borderId="47" xfId="0" applyFont="1" applyFill="1" applyBorder="1" applyAlignment="1" applyProtection="1">
      <alignment vertical="center" wrapText="1"/>
      <protection hidden="1"/>
    </xf>
    <xf numFmtId="0" fontId="12" fillId="3" borderId="62" xfId="0" applyFont="1" applyFill="1" applyBorder="1" applyAlignment="1">
      <alignment horizontal="left" vertical="center" wrapText="1"/>
    </xf>
    <xf numFmtId="0" fontId="12" fillId="3" borderId="63" xfId="0" applyFont="1" applyFill="1" applyBorder="1" applyAlignment="1">
      <alignment horizontal="left" vertical="center" wrapText="1"/>
    </xf>
    <xf numFmtId="0" fontId="12" fillId="3" borderId="64" xfId="0" applyFont="1" applyFill="1" applyBorder="1" applyAlignment="1">
      <alignment horizontal="left" vertical="center" wrapText="1"/>
    </xf>
    <xf numFmtId="0" fontId="49" fillId="0" borderId="0" xfId="0" applyFont="1" applyAlignment="1" applyProtection="1">
      <alignment horizontal="center" vertical="center" wrapText="1"/>
      <protection hidden="1"/>
    </xf>
    <xf numFmtId="0" fontId="49" fillId="0" borderId="58" xfId="0" applyFont="1" applyBorder="1" applyAlignment="1" applyProtection="1">
      <alignment horizontal="center" vertical="center" wrapText="1"/>
      <protection hidden="1"/>
    </xf>
    <xf numFmtId="0" fontId="13" fillId="0" borderId="0" xfId="0" applyFont="1" applyAlignment="1" applyProtection="1">
      <alignment horizontal="center" vertical="top" wrapText="1"/>
      <protection hidden="1"/>
    </xf>
    <xf numFmtId="0" fontId="13" fillId="0" borderId="58" xfId="0" applyFont="1" applyBorder="1" applyAlignment="1" applyProtection="1">
      <alignment horizontal="center" vertical="top" wrapText="1"/>
      <protection hidden="1"/>
    </xf>
    <xf numFmtId="0" fontId="4" fillId="0" borderId="6" xfId="0" applyFont="1" applyBorder="1" applyAlignment="1">
      <alignment horizontal="left" vertical="center" wrapText="1"/>
    </xf>
    <xf numFmtId="0" fontId="15" fillId="0" borderId="6" xfId="0" applyFont="1" applyBorder="1" applyAlignment="1">
      <alignment horizontal="left" vertical="center" wrapText="1"/>
    </xf>
    <xf numFmtId="0" fontId="5" fillId="0" borderId="36" xfId="0" applyFont="1" applyBorder="1" applyAlignment="1">
      <alignment horizontal="left" vertical="center" wrapText="1"/>
    </xf>
    <xf numFmtId="0" fontId="15" fillId="11" borderId="57"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19" fillId="6" borderId="17" xfId="0" applyFont="1" applyFill="1" applyBorder="1" applyAlignment="1">
      <alignment horizontal="center" vertical="center"/>
    </xf>
    <xf numFmtId="0" fontId="12" fillId="0" borderId="39" xfId="0" applyFont="1" applyBorder="1" applyAlignment="1" applyProtection="1">
      <alignment vertical="center" wrapText="1"/>
      <protection hidden="1"/>
    </xf>
    <xf numFmtId="0" fontId="12" fillId="0" borderId="40" xfId="0" applyFont="1" applyBorder="1" applyAlignment="1" applyProtection="1">
      <alignment vertical="center" wrapText="1"/>
      <protection hidden="1"/>
    </xf>
    <xf numFmtId="0" fontId="12" fillId="0" borderId="47" xfId="0" applyFont="1" applyBorder="1" applyAlignment="1" applyProtection="1">
      <alignment vertical="center" wrapText="1"/>
      <protection hidden="1"/>
    </xf>
    <xf numFmtId="0" fontId="30" fillId="6" borderId="5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7" fillId="0" borderId="0" xfId="0" applyFont="1" applyAlignment="1">
      <alignment horizontal="center" vertical="center" wrapText="1"/>
    </xf>
    <xf numFmtId="0" fontId="49" fillId="0" borderId="0" xfId="0" applyFont="1" applyAlignment="1">
      <alignment horizontal="center" vertical="center" wrapText="1"/>
    </xf>
    <xf numFmtId="0" fontId="50" fillId="0" borderId="58" xfId="0" applyFont="1" applyBorder="1" applyAlignment="1">
      <alignment horizontal="center" wrapText="1"/>
    </xf>
    <xf numFmtId="0" fontId="14" fillId="0" borderId="0" xfId="0" applyFont="1" applyAlignment="1">
      <alignment horizontal="center" vertical="top" wrapText="1"/>
    </xf>
    <xf numFmtId="0" fontId="13" fillId="0" borderId="0" xfId="0" applyFont="1" applyAlignment="1">
      <alignment horizontal="center" vertical="top" wrapText="1"/>
    </xf>
    <xf numFmtId="0" fontId="39" fillId="0" borderId="58" xfId="0" applyFont="1" applyBorder="1" applyAlignment="1">
      <alignment horizontal="center" wrapText="1"/>
    </xf>
    <xf numFmtId="0" fontId="50" fillId="0" borderId="0" xfId="0" applyFont="1" applyAlignment="1">
      <alignment horizontal="center" wrapText="1"/>
    </xf>
    <xf numFmtId="0" fontId="39" fillId="0" borderId="0" xfId="0" applyFont="1" applyAlignment="1">
      <alignment horizontal="center" wrapText="1"/>
    </xf>
    <xf numFmtId="0" fontId="39" fillId="0" borderId="5" xfId="0" applyFont="1" applyBorder="1" applyAlignment="1">
      <alignment horizontal="left" vertical="center" indent="1"/>
    </xf>
    <xf numFmtId="0" fontId="12" fillId="13" borderId="65" xfId="0" applyFont="1" applyFill="1" applyBorder="1" applyAlignment="1">
      <alignment horizontal="left" vertical="center" shrinkToFit="1"/>
    </xf>
    <xf numFmtId="0" fontId="5" fillId="13" borderId="65" xfId="0" applyFont="1" applyFill="1" applyBorder="1" applyAlignment="1">
      <alignment horizontal="left" vertical="center" shrinkToFit="1"/>
    </xf>
    <xf numFmtId="0" fontId="30" fillId="5" borderId="5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1" fillId="5" borderId="55"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73" fillId="13" borderId="53" xfId="0" applyFont="1" applyFill="1" applyBorder="1" applyAlignment="1">
      <alignment horizontal="left" vertical="center" shrinkToFit="1"/>
    </xf>
    <xf numFmtId="0" fontId="72" fillId="13" borderId="53" xfId="0" applyFont="1" applyFill="1" applyBorder="1" applyAlignment="1">
      <alignment horizontal="left" vertical="center" shrinkToFit="1"/>
    </xf>
    <xf numFmtId="0" fontId="2" fillId="0" borderId="20" xfId="0" applyFont="1" applyBorder="1" applyAlignment="1">
      <alignment horizontal="left" vertical="center" wrapText="1"/>
    </xf>
    <xf numFmtId="0" fontId="2" fillId="0" borderId="71" xfId="0" applyFont="1" applyBorder="1" applyAlignment="1">
      <alignment horizontal="left" vertical="center" wrapText="1"/>
    </xf>
    <xf numFmtId="0" fontId="2" fillId="0" borderId="60" xfId="0" applyFont="1" applyBorder="1" applyAlignment="1">
      <alignment horizontal="left" vertical="center" wrapText="1"/>
    </xf>
    <xf numFmtId="0" fontId="2" fillId="0" borderId="72" xfId="0" applyFont="1" applyBorder="1" applyAlignment="1">
      <alignment horizontal="left" vertical="center" wrapText="1"/>
    </xf>
    <xf numFmtId="0" fontId="11" fillId="0" borderId="20" xfId="0" applyFont="1" applyBorder="1" applyAlignment="1">
      <alignment horizontal="left" vertical="center" wrapText="1"/>
    </xf>
    <xf numFmtId="0" fontId="16" fillId="14" borderId="66" xfId="0" applyFont="1" applyFill="1" applyBorder="1" applyAlignment="1">
      <alignment horizontal="left" vertical="center"/>
    </xf>
    <xf numFmtId="0" fontId="51" fillId="14" borderId="66" xfId="0" applyFont="1" applyFill="1" applyBorder="1" applyAlignment="1">
      <alignment vertical="center"/>
    </xf>
    <xf numFmtId="0" fontId="17" fillId="0" borderId="0" xfId="0" applyFont="1" applyAlignment="1">
      <alignment horizontal="center" wrapText="1"/>
    </xf>
    <xf numFmtId="0" fontId="50" fillId="0" borderId="0" xfId="0" applyFont="1" applyAlignment="1">
      <alignment wrapText="1"/>
    </xf>
    <xf numFmtId="0" fontId="14" fillId="0" borderId="0" xfId="0" applyFont="1" applyAlignment="1">
      <alignment horizontal="center" vertical="center" wrapText="1"/>
    </xf>
    <xf numFmtId="0" fontId="39" fillId="0" borderId="0" xfId="0" applyFont="1" applyAlignment="1">
      <alignment vertical="center" wrapText="1"/>
    </xf>
    <xf numFmtId="0" fontId="30" fillId="5" borderId="67" xfId="0" applyFont="1" applyFill="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49" fontId="30" fillId="5" borderId="70" xfId="0" applyNumberFormat="1" applyFont="1" applyFill="1" applyBorder="1" applyAlignment="1">
      <alignment horizontal="center" vertical="center" wrapText="1"/>
    </xf>
    <xf numFmtId="49" fontId="30" fillId="5" borderId="35" xfId="0" applyNumberFormat="1" applyFont="1" applyFill="1" applyBorder="1" applyAlignment="1">
      <alignment horizontal="center" vertical="center" wrapText="1"/>
    </xf>
    <xf numFmtId="0" fontId="16" fillId="2" borderId="39" xfId="0" applyFont="1" applyFill="1" applyBorder="1" applyAlignment="1" applyProtection="1">
      <alignment vertical="center" wrapText="1"/>
      <protection hidden="1"/>
    </xf>
    <xf numFmtId="0" fontId="16" fillId="2" borderId="40" xfId="0" applyFont="1" applyFill="1" applyBorder="1" applyAlignment="1" applyProtection="1">
      <alignment vertical="center" wrapText="1"/>
      <protection hidden="1"/>
    </xf>
    <xf numFmtId="0" fontId="2" fillId="0" borderId="40" xfId="0" applyFont="1" applyBorder="1" applyAlignment="1">
      <alignment vertical="center"/>
    </xf>
    <xf numFmtId="0" fontId="11" fillId="0" borderId="21" xfId="0" applyFont="1" applyBorder="1" applyAlignment="1">
      <alignment horizontal="left" vertical="center" wrapText="1"/>
    </xf>
    <xf numFmtId="0" fontId="2" fillId="0" borderId="66" xfId="0" applyFont="1" applyBorder="1"/>
    <xf numFmtId="0" fontId="2" fillId="0" borderId="11" xfId="0" applyFont="1" applyBorder="1" applyAlignment="1" applyProtection="1">
      <alignment horizontal="left" vertical="center" wrapText="1"/>
      <protection hidden="1"/>
    </xf>
    <xf numFmtId="0" fontId="19" fillId="5" borderId="4" xfId="0" applyFont="1" applyFill="1" applyBorder="1" applyAlignment="1" applyProtection="1">
      <alignment vertical="center" wrapText="1"/>
      <protection hidden="1"/>
    </xf>
    <xf numFmtId="0" fontId="19" fillId="5" borderId="0" xfId="0" applyFont="1" applyFill="1" applyAlignment="1" applyProtection="1">
      <alignment vertical="center" wrapText="1"/>
      <protection hidden="1"/>
    </xf>
    <xf numFmtId="0" fontId="19" fillId="5" borderId="29" xfId="0" applyFont="1" applyFill="1" applyBorder="1" applyAlignment="1" applyProtection="1">
      <alignment vertical="center" wrapText="1"/>
      <protection hidden="1"/>
    </xf>
    <xf numFmtId="0" fontId="26" fillId="4" borderId="2" xfId="0" applyFont="1" applyFill="1" applyBorder="1" applyAlignment="1" applyProtection="1">
      <alignment horizontal="left" vertical="center" wrapText="1"/>
      <protection hidden="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41" xfId="0" applyFont="1" applyBorder="1" applyAlignment="1">
      <alignment vertical="center" wrapText="1"/>
    </xf>
    <xf numFmtId="0" fontId="15" fillId="0" borderId="14" xfId="0" applyFont="1" applyBorder="1" applyAlignment="1">
      <alignment vertical="center" wrapText="1"/>
    </xf>
    <xf numFmtId="0" fontId="2" fillId="4" borderId="14" xfId="0" applyFont="1" applyFill="1" applyBorder="1" applyAlignment="1">
      <alignment horizontal="right" vertical="center" wrapText="1"/>
    </xf>
    <xf numFmtId="0" fontId="39" fillId="4" borderId="42" xfId="0" applyFont="1" applyFill="1" applyBorder="1" applyAlignment="1">
      <alignment vertical="center" wrapText="1"/>
    </xf>
    <xf numFmtId="0" fontId="2" fillId="4" borderId="3" xfId="0" applyFont="1" applyFill="1" applyBorder="1" applyAlignment="1">
      <alignment horizontal="right" vertical="center" wrapText="1"/>
    </xf>
    <xf numFmtId="0" fontId="39" fillId="4" borderId="73" xfId="0" applyFont="1" applyFill="1" applyBorder="1" applyAlignment="1">
      <alignment vertical="center" wrapText="1"/>
    </xf>
    <xf numFmtId="0" fontId="2" fillId="4" borderId="0" xfId="0" applyFont="1" applyFill="1" applyAlignment="1">
      <alignment horizontal="right" vertical="center" wrapText="1"/>
    </xf>
    <xf numFmtId="0" fontId="39" fillId="4" borderId="29" xfId="0" applyFont="1" applyFill="1" applyBorder="1" applyAlignment="1">
      <alignment vertical="center" wrapText="1"/>
    </xf>
    <xf numFmtId="0" fontId="33" fillId="12" borderId="3" xfId="0" applyFont="1" applyFill="1" applyBorder="1" applyAlignment="1" applyProtection="1">
      <alignment horizontal="center" vertical="center" wrapText="1"/>
      <protection hidden="1"/>
    </xf>
    <xf numFmtId="0" fontId="0" fillId="0" borderId="14" xfId="0" applyBorder="1" applyAlignment="1">
      <alignment vertical="center" wrapText="1"/>
    </xf>
    <xf numFmtId="0" fontId="14" fillId="13" borderId="2" xfId="0" applyFont="1" applyFill="1" applyBorder="1" applyAlignment="1">
      <alignment horizontal="left" vertical="center" shrinkToFit="1"/>
    </xf>
    <xf numFmtId="0" fontId="15" fillId="13" borderId="3" xfId="0" applyFont="1" applyFill="1" applyBorder="1" applyAlignment="1">
      <alignment horizontal="left" vertical="center" shrinkToFit="1"/>
    </xf>
    <xf numFmtId="0" fontId="15" fillId="13" borderId="73" xfId="0" applyFont="1" applyFill="1" applyBorder="1" applyAlignment="1">
      <alignment horizontal="left" vertical="center" shrinkToFit="1"/>
    </xf>
    <xf numFmtId="0" fontId="14" fillId="13" borderId="74" xfId="0" applyFont="1" applyFill="1" applyBorder="1" applyAlignment="1">
      <alignment horizontal="left" vertical="center" shrinkToFit="1"/>
    </xf>
    <xf numFmtId="0" fontId="15" fillId="13" borderId="75" xfId="0" applyFont="1" applyFill="1" applyBorder="1" applyAlignment="1">
      <alignment horizontal="left" vertical="center" shrinkToFit="1"/>
    </xf>
    <xf numFmtId="0" fontId="15" fillId="13" borderId="76" xfId="0" applyFont="1" applyFill="1" applyBorder="1" applyAlignment="1">
      <alignment horizontal="left" vertical="center" shrinkToFit="1"/>
    </xf>
  </cellXfs>
  <cellStyles count="2">
    <cellStyle name="Hiperveza" xfId="1" builtinId="8"/>
    <cellStyle name="Normalno" xfId="0" builtinId="0"/>
  </cellStyles>
  <dxfs count="30">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auto="1"/>
      </font>
      <border>
        <left style="thin">
          <color indexed="64"/>
        </left>
        <right style="thin">
          <color indexed="64"/>
        </right>
        <top style="thin">
          <color indexed="64"/>
        </top>
        <bottom style="thin">
          <color indexed="64"/>
        </bottom>
      </border>
    </dxf>
    <dxf>
      <font>
        <condense val="0"/>
        <extend val="0"/>
        <color indexed="9"/>
      </font>
      <fill>
        <patternFill patternType="solid">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700" name="Group 11">
          <a:extLst>
            <a:ext uri="{FF2B5EF4-FFF2-40B4-BE49-F238E27FC236}">
              <a16:creationId xmlns:a16="http://schemas.microsoft.com/office/drawing/2014/main" id="{5BE1B7CB-AC04-191E-A8AD-0923431571AD}"/>
            </a:ext>
          </a:extLst>
        </xdr:cNvPr>
        <xdr:cNvGrpSpPr>
          <a:grpSpLocks/>
        </xdr:cNvGrpSpPr>
      </xdr:nvGrpSpPr>
      <xdr:grpSpPr bwMode="auto">
        <a:xfrm>
          <a:off x="5173980" y="3497580"/>
          <a:ext cx="2286000" cy="251460"/>
          <a:chOff x="885" y="94"/>
          <a:chExt cx="640" cy="55"/>
        </a:xfrm>
      </xdr:grpSpPr>
      <xdr:sp macro="" textlink="">
        <xdr:nvSpPr>
          <xdr:cNvPr id="1701" name="Freeform 1">
            <a:extLst>
              <a:ext uri="{FF2B5EF4-FFF2-40B4-BE49-F238E27FC236}">
                <a16:creationId xmlns:a16="http://schemas.microsoft.com/office/drawing/2014/main" id="{0B5137D4-4414-504F-98C3-97B2792420D0}"/>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2" name="Freeform 2">
            <a:extLst>
              <a:ext uri="{FF2B5EF4-FFF2-40B4-BE49-F238E27FC236}">
                <a16:creationId xmlns:a16="http://schemas.microsoft.com/office/drawing/2014/main" id="{FA8B88E4-14D5-7218-1DA9-B7A473B16C3C}"/>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3" name="Freeform 3">
            <a:extLst>
              <a:ext uri="{FF2B5EF4-FFF2-40B4-BE49-F238E27FC236}">
                <a16:creationId xmlns:a16="http://schemas.microsoft.com/office/drawing/2014/main" id="{22AD34D5-A254-8184-BEAF-8DB5719EB314}"/>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4" name="Freeform 4">
            <a:extLst>
              <a:ext uri="{FF2B5EF4-FFF2-40B4-BE49-F238E27FC236}">
                <a16:creationId xmlns:a16="http://schemas.microsoft.com/office/drawing/2014/main" id="{E29ABF9C-30A3-A089-218E-17C7BE027DB7}"/>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5" name="Freeform 5">
            <a:extLst>
              <a:ext uri="{FF2B5EF4-FFF2-40B4-BE49-F238E27FC236}">
                <a16:creationId xmlns:a16="http://schemas.microsoft.com/office/drawing/2014/main" id="{2D65BDC0-CA11-E167-B89F-2D25BAD2A4D5}"/>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6" name="Freeform 6">
            <a:extLst>
              <a:ext uri="{FF2B5EF4-FFF2-40B4-BE49-F238E27FC236}">
                <a16:creationId xmlns:a16="http://schemas.microsoft.com/office/drawing/2014/main" id="{771EE880-F003-ABB8-4A34-931CBE0306D0}"/>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7" name="Freeform 7">
            <a:extLst>
              <a:ext uri="{FF2B5EF4-FFF2-40B4-BE49-F238E27FC236}">
                <a16:creationId xmlns:a16="http://schemas.microsoft.com/office/drawing/2014/main" id="{979038C0-DF65-78C8-A600-5A2593CF42D1}"/>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8" name="Freeform 8">
            <a:extLst>
              <a:ext uri="{FF2B5EF4-FFF2-40B4-BE49-F238E27FC236}">
                <a16:creationId xmlns:a16="http://schemas.microsoft.com/office/drawing/2014/main" id="{01C6D972-846F-E334-2E3F-E341FD52DEB1}"/>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09" name="Freeform 9">
            <a:extLst>
              <a:ext uri="{FF2B5EF4-FFF2-40B4-BE49-F238E27FC236}">
                <a16:creationId xmlns:a16="http://schemas.microsoft.com/office/drawing/2014/main" id="{C1C0A34C-8A86-C601-1463-8DB80784D440}"/>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710" name="Freeform 10">
            <a:extLst>
              <a:ext uri="{FF2B5EF4-FFF2-40B4-BE49-F238E27FC236}">
                <a16:creationId xmlns:a16="http://schemas.microsoft.com/office/drawing/2014/main" id="{3DA1B928-EC8E-BDEC-B2EF-AD73449B83FD}"/>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ina.hr/godisnji-financijski-izvjestaji/obrasci"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E221"/>
  <sheetViews>
    <sheetView showGridLines="0" showRowColHeaders="0" workbookViewId="0">
      <pane ySplit="1" topLeftCell="A2" activePane="bottomLeft" state="frozen"/>
      <selection pane="bottomLeft"/>
    </sheetView>
  </sheetViews>
  <sheetFormatPr defaultRowHeight="13.2" x14ac:dyDescent="0.25"/>
  <cols>
    <col min="1" max="1" width="20.6640625" customWidth="1"/>
    <col min="2" max="2" width="20.6640625" style="21" customWidth="1"/>
    <col min="8" max="8" width="9.109375" style="22"/>
    <col min="10" max="31" width="18.6640625" style="22" customWidth="1"/>
  </cols>
  <sheetData>
    <row r="1" spans="1:31" x14ac:dyDescent="0.25">
      <c r="A1" s="36" t="s">
        <v>0</v>
      </c>
      <c r="B1" s="37" t="s">
        <v>1</v>
      </c>
      <c r="C1" s="36"/>
      <c r="D1" s="36" t="s">
        <v>2</v>
      </c>
      <c r="E1" s="36" t="s">
        <v>3</v>
      </c>
      <c r="F1" s="36" t="s">
        <v>4</v>
      </c>
      <c r="G1" s="36" t="s">
        <v>5</v>
      </c>
      <c r="H1" s="38" t="s">
        <v>6</v>
      </c>
      <c r="I1" s="36" t="s">
        <v>7</v>
      </c>
      <c r="J1" s="38" t="s">
        <v>8</v>
      </c>
      <c r="K1" s="38" t="s">
        <v>9</v>
      </c>
      <c r="L1" s="38" t="s">
        <v>10</v>
      </c>
      <c r="M1" s="38" t="s">
        <v>11</v>
      </c>
      <c r="N1" s="38" t="s">
        <v>12</v>
      </c>
      <c r="O1" s="38" t="s">
        <v>13</v>
      </c>
      <c r="P1" s="38" t="s">
        <v>14</v>
      </c>
      <c r="Q1" s="38" t="s">
        <v>15</v>
      </c>
      <c r="R1" s="38" t="s">
        <v>16</v>
      </c>
      <c r="S1" s="38" t="s">
        <v>17</v>
      </c>
      <c r="T1" s="38" t="s">
        <v>18</v>
      </c>
      <c r="U1" s="38" t="s">
        <v>19</v>
      </c>
      <c r="V1" s="38" t="s">
        <v>20</v>
      </c>
      <c r="W1" s="38" t="s">
        <v>21</v>
      </c>
      <c r="X1" s="38" t="s">
        <v>22</v>
      </c>
      <c r="Y1" s="38" t="s">
        <v>23</v>
      </c>
      <c r="Z1" s="38" t="s">
        <v>24</v>
      </c>
      <c r="AA1" s="38" t="s">
        <v>25</v>
      </c>
      <c r="AB1" s="38" t="s">
        <v>26</v>
      </c>
      <c r="AC1" s="38" t="s">
        <v>27</v>
      </c>
      <c r="AD1" s="38" t="s">
        <v>28</v>
      </c>
      <c r="AE1" s="38" t="s">
        <v>29</v>
      </c>
    </row>
    <row r="2" spans="1:31" x14ac:dyDescent="0.25">
      <c r="A2" t="s">
        <v>30</v>
      </c>
      <c r="B2" s="21">
        <f>RefStr!F12</f>
        <v>0</v>
      </c>
      <c r="D2" t="s">
        <v>31</v>
      </c>
      <c r="E2">
        <v>1</v>
      </c>
      <c r="F2">
        <f>Bilanca!G9</f>
        <v>1</v>
      </c>
      <c r="G2" t="str">
        <f>IF(Bilanca!H9=0,"",Bilanca!H9)</f>
        <v/>
      </c>
      <c r="H2" s="22">
        <f>J2/100*F2+2*K2/100*F2</f>
        <v>0</v>
      </c>
      <c r="I2" s="22">
        <f t="shared" ref="I2:I33" si="0">ABS(ROUND(J2,2)-J2)+ABS(ROUND(K2,2)-K2)</f>
        <v>0</v>
      </c>
      <c r="J2" s="22">
        <f>ROUND(Bilanca!I9,2)</f>
        <v>0</v>
      </c>
      <c r="K2" s="22">
        <f>ROUND(Bilanca!J9,2)</f>
        <v>0</v>
      </c>
    </row>
    <row r="3" spans="1:31" x14ac:dyDescent="0.25">
      <c r="A3" t="s">
        <v>32</v>
      </c>
      <c r="B3" s="21" t="s">
        <v>33</v>
      </c>
      <c r="D3" t="s">
        <v>31</v>
      </c>
      <c r="E3">
        <v>1</v>
      </c>
      <c r="F3">
        <f>Bilanca!G10</f>
        <v>2</v>
      </c>
      <c r="G3" t="str">
        <f>IF(Bilanca!H10=0,"",Bilanca!H10)</f>
        <v/>
      </c>
      <c r="H3" s="22">
        <f>J3/100*F3+2*K3/100*F3</f>
        <v>0</v>
      </c>
      <c r="I3" s="22">
        <f t="shared" si="0"/>
        <v>0</v>
      </c>
      <c r="J3" s="22">
        <f>ROUND(Bilanca!I10,2)</f>
        <v>0</v>
      </c>
      <c r="K3" s="22">
        <f>ROUND(Bilanca!J10,2)</f>
        <v>0</v>
      </c>
    </row>
    <row r="4" spans="1:31" x14ac:dyDescent="0.25">
      <c r="A4" t="s">
        <v>34</v>
      </c>
      <c r="B4" s="21" t="s">
        <v>35</v>
      </c>
      <c r="D4" t="s">
        <v>31</v>
      </c>
      <c r="E4">
        <v>1</v>
      </c>
      <c r="F4">
        <f>Bilanca!G11</f>
        <v>3</v>
      </c>
      <c r="G4" t="str">
        <f>IF(Bilanca!H11=0,"",Bilanca!H11)</f>
        <v/>
      </c>
      <c r="H4" s="22">
        <f t="shared" ref="H4:H60" si="1">J4/100*F4+2*K4/100*F4</f>
        <v>0</v>
      </c>
      <c r="I4" s="22">
        <f t="shared" si="0"/>
        <v>0</v>
      </c>
      <c r="J4" s="22">
        <f>ROUND(Bilanca!I11,2)</f>
        <v>0</v>
      </c>
      <c r="K4" s="22">
        <f>ROUND(Bilanca!J11,2)</f>
        <v>0</v>
      </c>
    </row>
    <row r="5" spans="1:31" x14ac:dyDescent="0.25">
      <c r="A5" t="s">
        <v>36</v>
      </c>
      <c r="B5" s="21">
        <f>IF(ISNUMBER(RefStr!C17), RefStr!C17,0)</f>
        <v>0</v>
      </c>
      <c r="D5" t="s">
        <v>31</v>
      </c>
      <c r="E5">
        <v>1</v>
      </c>
      <c r="F5">
        <f>Bilanca!G12</f>
        <v>4</v>
      </c>
      <c r="G5" t="str">
        <f>IF(Bilanca!H12=0,"",Bilanca!H12)</f>
        <v/>
      </c>
      <c r="H5" s="22">
        <f t="shared" si="1"/>
        <v>0</v>
      </c>
      <c r="I5" s="22">
        <f t="shared" si="0"/>
        <v>0</v>
      </c>
      <c r="J5" s="22">
        <f>ROUND(Bilanca!I12,2)</f>
        <v>0</v>
      </c>
      <c r="K5" s="22">
        <f>ROUND(Bilanca!J12,2)</f>
        <v>0</v>
      </c>
    </row>
    <row r="6" spans="1:31" x14ac:dyDescent="0.25">
      <c r="A6" t="s">
        <v>37</v>
      </c>
      <c r="B6" s="21">
        <f>RefStr!H27</f>
        <v>0</v>
      </c>
      <c r="D6" t="s">
        <v>31</v>
      </c>
      <c r="E6">
        <v>1</v>
      </c>
      <c r="F6">
        <f>Bilanca!G13</f>
        <v>5</v>
      </c>
      <c r="G6" t="str">
        <f>IF(Bilanca!H13=0,"",Bilanca!H13)</f>
        <v/>
      </c>
      <c r="H6" s="22">
        <f t="shared" si="1"/>
        <v>0</v>
      </c>
      <c r="I6" s="22">
        <f t="shared" si="0"/>
        <v>0</v>
      </c>
      <c r="J6" s="22">
        <f>ROUND(Bilanca!I13,2)</f>
        <v>0</v>
      </c>
      <c r="K6" s="22">
        <f>ROUND(Bilanca!J13,2)</f>
        <v>0</v>
      </c>
    </row>
    <row r="7" spans="1:31" x14ac:dyDescent="0.25">
      <c r="A7" t="s">
        <v>38</v>
      </c>
      <c r="B7" s="21">
        <f>RefStr!M27</f>
        <v>0</v>
      </c>
      <c r="D7" t="s">
        <v>31</v>
      </c>
      <c r="E7">
        <v>1</v>
      </c>
      <c r="F7">
        <f>Bilanca!G14</f>
        <v>6</v>
      </c>
      <c r="G7" t="str">
        <f>IF(Bilanca!H14=0,"",Bilanca!H14)</f>
        <v/>
      </c>
      <c r="H7" s="22">
        <f t="shared" si="1"/>
        <v>0</v>
      </c>
      <c r="I7" s="22">
        <f t="shared" si="0"/>
        <v>0</v>
      </c>
      <c r="J7" s="22">
        <f>ROUND(Bilanca!I14,2)</f>
        <v>0</v>
      </c>
      <c r="K7" s="22">
        <f>ROUND(Bilanca!J14,2)</f>
        <v>0</v>
      </c>
    </row>
    <row r="8" spans="1:31" x14ac:dyDescent="0.25">
      <c r="A8" t="s">
        <v>39</v>
      </c>
      <c r="B8" s="21">
        <f>RefStr!C27</f>
        <v>0</v>
      </c>
      <c r="D8" t="s">
        <v>31</v>
      </c>
      <c r="E8">
        <v>1</v>
      </c>
      <c r="F8">
        <f>Bilanca!G15</f>
        <v>7</v>
      </c>
      <c r="G8" t="str">
        <f>IF(Bilanca!H15=0,"",Bilanca!H15)</f>
        <v/>
      </c>
      <c r="H8" s="22">
        <f t="shared" si="1"/>
        <v>0</v>
      </c>
      <c r="I8" s="22">
        <f t="shared" si="0"/>
        <v>0</v>
      </c>
      <c r="J8" s="22">
        <f>ROUND(Bilanca!I15,2)</f>
        <v>0</v>
      </c>
      <c r="K8" s="22">
        <f>ROUND(Bilanca!J15,2)</f>
        <v>0</v>
      </c>
    </row>
    <row r="9" spans="1:31" x14ac:dyDescent="0.25">
      <c r="A9" t="s">
        <v>40</v>
      </c>
      <c r="B9" s="21" t="str">
        <f>TRIM(RefStr!C29)</f>
        <v/>
      </c>
      <c r="D9" t="s">
        <v>31</v>
      </c>
      <c r="E9">
        <v>1</v>
      </c>
      <c r="F9">
        <f>Bilanca!G16</f>
        <v>8</v>
      </c>
      <c r="G9" t="str">
        <f>IF(Bilanca!H16=0,"",Bilanca!H16)</f>
        <v/>
      </c>
      <c r="H9" s="22">
        <f t="shared" si="1"/>
        <v>0</v>
      </c>
      <c r="I9" s="22">
        <f t="shared" si="0"/>
        <v>0</v>
      </c>
      <c r="J9" s="22">
        <f>ROUND(Bilanca!I16,2)</f>
        <v>0</v>
      </c>
      <c r="K9" s="22">
        <f>ROUND(Bilanca!J16,2)</f>
        <v>0</v>
      </c>
    </row>
    <row r="10" spans="1:31" x14ac:dyDescent="0.25">
      <c r="A10" t="s">
        <v>41</v>
      </c>
      <c r="B10" s="21" t="str">
        <f>TEXT(RefStr!C31, "00000")</f>
        <v>00000</v>
      </c>
      <c r="D10" t="s">
        <v>31</v>
      </c>
      <c r="E10">
        <v>1</v>
      </c>
      <c r="F10">
        <f>Bilanca!G17</f>
        <v>9</v>
      </c>
      <c r="G10" t="str">
        <f>IF(Bilanca!H17=0,"",Bilanca!H17)</f>
        <v/>
      </c>
      <c r="H10" s="22">
        <f t="shared" si="1"/>
        <v>0</v>
      </c>
      <c r="I10" s="22">
        <f t="shared" si="0"/>
        <v>0</v>
      </c>
      <c r="J10" s="22">
        <f>ROUND(Bilanca!I17,2)</f>
        <v>0</v>
      </c>
      <c r="K10" s="22">
        <f>ROUND(Bilanca!J17,2)</f>
        <v>0</v>
      </c>
    </row>
    <row r="11" spans="1:31" x14ac:dyDescent="0.25">
      <c r="A11" t="s">
        <v>42</v>
      </c>
      <c r="B11" s="21" t="str">
        <f>TRIM(RefStr!F31)</f>
        <v/>
      </c>
      <c r="D11" t="s">
        <v>31</v>
      </c>
      <c r="E11">
        <v>1</v>
      </c>
      <c r="F11">
        <f>Bilanca!G18</f>
        <v>10</v>
      </c>
      <c r="G11" t="str">
        <f>IF(Bilanca!H18=0,"",Bilanca!H18)</f>
        <v/>
      </c>
      <c r="H11" s="22">
        <f t="shared" si="1"/>
        <v>0</v>
      </c>
      <c r="I11" s="22">
        <f t="shared" si="0"/>
        <v>0</v>
      </c>
      <c r="J11" s="22">
        <f>ROUND(Bilanca!I18,2)</f>
        <v>0</v>
      </c>
      <c r="K11" s="22">
        <f>ROUND(Bilanca!J18,2)</f>
        <v>0</v>
      </c>
    </row>
    <row r="12" spans="1:31" x14ac:dyDescent="0.25">
      <c r="A12" t="s">
        <v>43</v>
      </c>
      <c r="B12" s="21" t="str">
        <f>TRIM(RefStr!C33)</f>
        <v/>
      </c>
      <c r="D12" t="s">
        <v>31</v>
      </c>
      <c r="E12">
        <v>1</v>
      </c>
      <c r="F12">
        <f>Bilanca!G19</f>
        <v>11</v>
      </c>
      <c r="G12" t="str">
        <f>IF(Bilanca!H19=0,"",Bilanca!H19)</f>
        <v/>
      </c>
      <c r="H12" s="22">
        <f t="shared" si="1"/>
        <v>0</v>
      </c>
      <c r="I12" s="22">
        <f t="shared" si="0"/>
        <v>0</v>
      </c>
      <c r="J12" s="22">
        <f>ROUND(Bilanca!I19,2)</f>
        <v>0</v>
      </c>
      <c r="K12" s="22">
        <f>ROUND(Bilanca!J19,2)</f>
        <v>0</v>
      </c>
    </row>
    <row r="13" spans="1:31" x14ac:dyDescent="0.25">
      <c r="A13" t="s">
        <v>44</v>
      </c>
      <c r="B13" s="21" t="str">
        <f>TRIM(RefStr!C35)</f>
        <v/>
      </c>
      <c r="D13" t="s">
        <v>31</v>
      </c>
      <c r="E13">
        <v>1</v>
      </c>
      <c r="F13">
        <f>Bilanca!G20</f>
        <v>12</v>
      </c>
      <c r="G13" t="str">
        <f>IF(Bilanca!H20=0,"",Bilanca!H20)</f>
        <v/>
      </c>
      <c r="H13" s="22">
        <f t="shared" si="1"/>
        <v>0</v>
      </c>
      <c r="I13" s="22">
        <f t="shared" si="0"/>
        <v>0</v>
      </c>
      <c r="J13" s="22">
        <f>ROUND(Bilanca!I20,2)</f>
        <v>0</v>
      </c>
      <c r="K13" s="22">
        <f>ROUND(Bilanca!J20,2)</f>
        <v>0</v>
      </c>
    </row>
    <row r="14" spans="1:31" x14ac:dyDescent="0.25">
      <c r="A14" t="s">
        <v>45</v>
      </c>
      <c r="B14" s="21" t="str">
        <f>TRIM(RefStr!C37)</f>
        <v/>
      </c>
      <c r="D14" t="s">
        <v>31</v>
      </c>
      <c r="E14">
        <v>1</v>
      </c>
      <c r="F14">
        <f>Bilanca!G21</f>
        <v>13</v>
      </c>
      <c r="G14" t="str">
        <f>IF(Bilanca!H21=0,"",Bilanca!H21)</f>
        <v/>
      </c>
      <c r="H14" s="22">
        <f t="shared" si="1"/>
        <v>0</v>
      </c>
      <c r="I14" s="22">
        <f t="shared" si="0"/>
        <v>0</v>
      </c>
      <c r="J14" s="22">
        <f>ROUND(Bilanca!I21,2)</f>
        <v>0</v>
      </c>
      <c r="K14" s="22">
        <f>ROUND(Bilanca!J21,2)</f>
        <v>0</v>
      </c>
    </row>
    <row r="15" spans="1:31" x14ac:dyDescent="0.25">
      <c r="A15" t="s">
        <v>46</v>
      </c>
      <c r="B15" s="21" t="str">
        <f>TEXT(RefStr!J39,"00")</f>
        <v/>
      </c>
      <c r="D15" t="s">
        <v>31</v>
      </c>
      <c r="E15">
        <v>1</v>
      </c>
      <c r="F15">
        <f>Bilanca!G22</f>
        <v>14</v>
      </c>
      <c r="G15" t="str">
        <f>IF(Bilanca!H22=0,"",Bilanca!H22)</f>
        <v/>
      </c>
      <c r="H15" s="22">
        <f t="shared" si="1"/>
        <v>0</v>
      </c>
      <c r="I15" s="22">
        <f t="shared" si="0"/>
        <v>0</v>
      </c>
      <c r="J15" s="22">
        <f>ROUND(Bilanca!I22,2)</f>
        <v>0</v>
      </c>
      <c r="K15" s="22">
        <f>ROUND(Bilanca!J22,2)</f>
        <v>0</v>
      </c>
    </row>
    <row r="16" spans="1:31" x14ac:dyDescent="0.25">
      <c r="A16" t="s">
        <v>47</v>
      </c>
      <c r="B16" s="21" t="str">
        <f>TEXT(RefStr!C39, "000")</f>
        <v>000</v>
      </c>
      <c r="D16" t="s">
        <v>31</v>
      </c>
      <c r="E16">
        <v>1</v>
      </c>
      <c r="F16">
        <f>Bilanca!G23</f>
        <v>15</v>
      </c>
      <c r="G16" t="str">
        <f>IF(Bilanca!H23=0,"",Bilanca!H23)</f>
        <v/>
      </c>
      <c r="H16" s="22">
        <f t="shared" si="1"/>
        <v>0</v>
      </c>
      <c r="I16" s="22">
        <f t="shared" si="0"/>
        <v>0</v>
      </c>
      <c r="J16" s="22">
        <f>ROUND(Bilanca!I23,2)</f>
        <v>0</v>
      </c>
      <c r="K16" s="22">
        <f>ROUND(Bilanca!J23,2)</f>
        <v>0</v>
      </c>
    </row>
    <row r="17" spans="1:11" x14ac:dyDescent="0.25">
      <c r="A17" t="s">
        <v>48</v>
      </c>
      <c r="B17" s="21">
        <f>RefStr!C42</f>
        <v>0</v>
      </c>
      <c r="D17" t="s">
        <v>31</v>
      </c>
      <c r="E17">
        <v>1</v>
      </c>
      <c r="F17">
        <f>Bilanca!G24</f>
        <v>16</v>
      </c>
      <c r="G17" t="str">
        <f>IF(Bilanca!H24=0,"",Bilanca!H24)</f>
        <v/>
      </c>
      <c r="H17" s="22">
        <f t="shared" si="1"/>
        <v>0</v>
      </c>
      <c r="I17" s="22">
        <f t="shared" si="0"/>
        <v>0</v>
      </c>
      <c r="J17" s="22">
        <f>ROUND(Bilanca!I24,2)</f>
        <v>0</v>
      </c>
      <c r="K17" s="22">
        <f>ROUND(Bilanca!J24,2)</f>
        <v>0</v>
      </c>
    </row>
    <row r="18" spans="1:11" x14ac:dyDescent="0.25">
      <c r="A18" t="s">
        <v>49</v>
      </c>
      <c r="B18" s="21" t="str">
        <f>IF(RefStr!C21&lt;&gt;"",RefStr!C21,"")</f>
        <v/>
      </c>
      <c r="D18" t="s">
        <v>31</v>
      </c>
      <c r="E18">
        <v>1</v>
      </c>
      <c r="F18">
        <f>Bilanca!G25</f>
        <v>17</v>
      </c>
      <c r="G18" t="str">
        <f>IF(Bilanca!H25=0,"",Bilanca!H25)</f>
        <v/>
      </c>
      <c r="H18" s="22">
        <f t="shared" si="1"/>
        <v>0</v>
      </c>
      <c r="I18" s="22">
        <f t="shared" si="0"/>
        <v>0</v>
      </c>
      <c r="J18" s="22">
        <f>ROUND(Bilanca!I25,2)</f>
        <v>0</v>
      </c>
      <c r="K18" s="22">
        <f>ROUND(Bilanca!J25,2)</f>
        <v>0</v>
      </c>
    </row>
    <row r="19" spans="1:11" x14ac:dyDescent="0.25">
      <c r="A19" t="s">
        <v>50</v>
      </c>
      <c r="B19" s="21" t="str">
        <f>IF(RefStr!I21&lt;&gt;"",RefStr!I21,"")</f>
        <v/>
      </c>
      <c r="D19" t="s">
        <v>31</v>
      </c>
      <c r="E19">
        <v>1</v>
      </c>
      <c r="F19">
        <f>Bilanca!G26</f>
        <v>18</v>
      </c>
      <c r="G19" t="str">
        <f>IF(Bilanca!H26=0,"",Bilanca!H26)</f>
        <v/>
      </c>
      <c r="H19" s="22">
        <f t="shared" si="1"/>
        <v>0</v>
      </c>
      <c r="I19" s="22">
        <f t="shared" si="0"/>
        <v>0</v>
      </c>
      <c r="J19" s="22">
        <f>ROUND(Bilanca!I26,2)</f>
        <v>0</v>
      </c>
      <c r="K19" s="22">
        <f>ROUND(Bilanca!J26,2)</f>
        <v>0</v>
      </c>
    </row>
    <row r="20" spans="1:11" x14ac:dyDescent="0.25">
      <c r="A20" t="s">
        <v>51</v>
      </c>
      <c r="B20" s="21">
        <f>RefStr!C19</f>
        <v>0</v>
      </c>
      <c r="D20" t="s">
        <v>31</v>
      </c>
      <c r="E20">
        <v>1</v>
      </c>
      <c r="F20">
        <f>Bilanca!G27</f>
        <v>19</v>
      </c>
      <c r="G20" t="str">
        <f>IF(Bilanca!H27=0,"",Bilanca!H27)</f>
        <v/>
      </c>
      <c r="H20" s="22">
        <f t="shared" si="1"/>
        <v>0</v>
      </c>
      <c r="I20" s="22">
        <f t="shared" si="0"/>
        <v>0</v>
      </c>
      <c r="J20" s="22">
        <f>ROUND(Bilanca!I27,2)</f>
        <v>0</v>
      </c>
      <c r="K20" s="22">
        <f>ROUND(Bilanca!J27,2)</f>
        <v>0</v>
      </c>
    </row>
    <row r="21" spans="1:11" x14ac:dyDescent="0.25">
      <c r="A21" t="s">
        <v>52</v>
      </c>
      <c r="B21" s="21">
        <f>IF(RefStr!C50&gt;0,IF(RefStr!C50=1,4,RefStr!C50-1),RefStr!C50)</f>
        <v>3</v>
      </c>
      <c r="D21" t="s">
        <v>31</v>
      </c>
      <c r="E21">
        <v>1</v>
      </c>
      <c r="F21">
        <f>Bilanca!G28</f>
        <v>20</v>
      </c>
      <c r="G21" t="str">
        <f>IF(Bilanca!H28=0,"",Bilanca!H28)</f>
        <v/>
      </c>
      <c r="H21" s="22">
        <f t="shared" si="1"/>
        <v>0</v>
      </c>
      <c r="I21" s="22">
        <f t="shared" si="0"/>
        <v>0</v>
      </c>
      <c r="J21" s="22">
        <f>ROUND(Bilanca!I28,2)</f>
        <v>0</v>
      </c>
      <c r="K21" s="22">
        <f>ROUND(Bilanca!J28,2)</f>
        <v>0</v>
      </c>
    </row>
    <row r="22" spans="1:11" x14ac:dyDescent="0.25">
      <c r="A22" t="s">
        <v>53</v>
      </c>
      <c r="B22" s="21">
        <f>RefStr!C52</f>
        <v>0</v>
      </c>
      <c r="D22" t="s">
        <v>31</v>
      </c>
      <c r="E22">
        <v>1</v>
      </c>
      <c r="F22">
        <f>Bilanca!G29</f>
        <v>21</v>
      </c>
      <c r="G22" t="str">
        <f>IF(Bilanca!H29=0,"",Bilanca!H29)</f>
        <v/>
      </c>
      <c r="H22" s="22">
        <f t="shared" si="1"/>
        <v>0</v>
      </c>
      <c r="I22" s="22">
        <f t="shared" si="0"/>
        <v>0</v>
      </c>
      <c r="J22" s="22">
        <f>ROUND(Bilanca!I29,2)</f>
        <v>0</v>
      </c>
      <c r="K22" s="22">
        <f>ROUND(Bilanca!J29,2)</f>
        <v>0</v>
      </c>
    </row>
    <row r="23" spans="1:11" x14ac:dyDescent="0.25">
      <c r="A23" t="s">
        <v>54</v>
      </c>
      <c r="B23" s="21">
        <f>RefStr!C54</f>
        <v>0</v>
      </c>
      <c r="D23" t="s">
        <v>31</v>
      </c>
      <c r="E23">
        <v>1</v>
      </c>
      <c r="F23">
        <f>Bilanca!G30</f>
        <v>22</v>
      </c>
      <c r="G23" t="str">
        <f>IF(Bilanca!H30=0,"",Bilanca!H30)</f>
        <v/>
      </c>
      <c r="H23" s="22">
        <f t="shared" si="1"/>
        <v>0</v>
      </c>
      <c r="I23" s="22">
        <f t="shared" si="0"/>
        <v>0</v>
      </c>
      <c r="J23" s="22">
        <f>ROUND(Bilanca!I30,2)</f>
        <v>0</v>
      </c>
      <c r="K23" s="22">
        <f>ROUND(Bilanca!J30,2)</f>
        <v>0</v>
      </c>
    </row>
    <row r="24" spans="1:11" x14ac:dyDescent="0.25">
      <c r="A24" t="s">
        <v>55</v>
      </c>
      <c r="B24" s="21">
        <f>RefStr!F54</f>
        <v>0</v>
      </c>
      <c r="D24" t="s">
        <v>31</v>
      </c>
      <c r="E24">
        <v>1</v>
      </c>
      <c r="F24">
        <f>Bilanca!G31</f>
        <v>23</v>
      </c>
      <c r="G24" t="str">
        <f>IF(Bilanca!H31=0,"",Bilanca!H31)</f>
        <v/>
      </c>
      <c r="H24" s="22">
        <f t="shared" si="1"/>
        <v>0</v>
      </c>
      <c r="I24" s="22">
        <f t="shared" si="0"/>
        <v>0</v>
      </c>
      <c r="J24" s="22">
        <f>ROUND(Bilanca!I31,2)</f>
        <v>0</v>
      </c>
      <c r="K24" s="22">
        <f>ROUND(Bilanca!J31,2)</f>
        <v>0</v>
      </c>
    </row>
    <row r="25" spans="1:11" x14ac:dyDescent="0.25">
      <c r="A25" t="s">
        <v>56</v>
      </c>
      <c r="B25" s="21">
        <f>RefStr!C56</f>
        <v>0</v>
      </c>
      <c r="D25" t="s">
        <v>31</v>
      </c>
      <c r="E25">
        <v>1</v>
      </c>
      <c r="F25">
        <f>Bilanca!G32</f>
        <v>24</v>
      </c>
      <c r="G25" t="str">
        <f>IF(Bilanca!H32=0,"",Bilanca!H32)</f>
        <v/>
      </c>
      <c r="H25" s="22">
        <f t="shared" si="1"/>
        <v>0</v>
      </c>
      <c r="I25" s="22">
        <f t="shared" si="0"/>
        <v>0</v>
      </c>
      <c r="J25" s="22">
        <f>ROUND(Bilanca!I32,2)</f>
        <v>0</v>
      </c>
      <c r="K25" s="22">
        <f>ROUND(Bilanca!J32,2)</f>
        <v>0</v>
      </c>
    </row>
    <row r="26" spans="1:11" x14ac:dyDescent="0.25">
      <c r="A26" t="s">
        <v>57</v>
      </c>
      <c r="B26" s="21">
        <f>RefStr!F56</f>
        <v>0</v>
      </c>
      <c r="D26" t="s">
        <v>31</v>
      </c>
      <c r="E26">
        <v>1</v>
      </c>
      <c r="F26">
        <f>Bilanca!G33</f>
        <v>25</v>
      </c>
      <c r="G26" t="str">
        <f>IF(Bilanca!H33=0,"",Bilanca!H33)</f>
        <v/>
      </c>
      <c r="H26" s="22">
        <f t="shared" si="1"/>
        <v>0</v>
      </c>
      <c r="I26" s="22">
        <f t="shared" si="0"/>
        <v>0</v>
      </c>
      <c r="J26" s="22">
        <f>ROUND(Bilanca!I33,2)</f>
        <v>0</v>
      </c>
      <c r="K26" s="22">
        <f>ROUND(Bilanca!J33,2)</f>
        <v>0</v>
      </c>
    </row>
    <row r="27" spans="1:11" x14ac:dyDescent="0.25">
      <c r="A27" t="s">
        <v>58</v>
      </c>
      <c r="B27" s="21">
        <f>RefStr!C58</f>
        <v>0</v>
      </c>
      <c r="D27" t="s">
        <v>31</v>
      </c>
      <c r="E27">
        <v>1</v>
      </c>
      <c r="F27">
        <f>Bilanca!G34</f>
        <v>26</v>
      </c>
      <c r="G27" t="str">
        <f>IF(Bilanca!H34=0,"",Bilanca!H34)</f>
        <v/>
      </c>
      <c r="H27" s="22">
        <f t="shared" si="1"/>
        <v>0</v>
      </c>
      <c r="I27" s="22">
        <f t="shared" si="0"/>
        <v>0</v>
      </c>
      <c r="J27" s="22">
        <f>ROUND(Bilanca!I34,2)</f>
        <v>0</v>
      </c>
      <c r="K27" s="22">
        <f>ROUND(Bilanca!J34,2)</f>
        <v>0</v>
      </c>
    </row>
    <row r="28" spans="1:11" x14ac:dyDescent="0.25">
      <c r="A28" t="s">
        <v>59</v>
      </c>
      <c r="B28" s="21">
        <f>RefStr!F58</f>
        <v>0</v>
      </c>
      <c r="D28" t="s">
        <v>31</v>
      </c>
      <c r="E28">
        <v>1</v>
      </c>
      <c r="F28">
        <f>Bilanca!G36</f>
        <v>27</v>
      </c>
      <c r="G28" t="str">
        <f>IF(Bilanca!H36=0,"",Bilanca!H36)</f>
        <v/>
      </c>
      <c r="H28" s="22">
        <f t="shared" si="1"/>
        <v>0</v>
      </c>
      <c r="I28" s="22">
        <f t="shared" si="0"/>
        <v>0</v>
      </c>
      <c r="J28" s="22">
        <f>ROUND(Bilanca!I36,2)</f>
        <v>0</v>
      </c>
      <c r="K28" s="22">
        <f>ROUND(Bilanca!J36,2)</f>
        <v>0</v>
      </c>
    </row>
    <row r="29" spans="1:11" x14ac:dyDescent="0.25">
      <c r="A29" t="s">
        <v>60</v>
      </c>
      <c r="B29" s="21">
        <f>RefStr!C60</f>
        <v>0</v>
      </c>
      <c r="D29" t="s">
        <v>31</v>
      </c>
      <c r="E29">
        <v>1</v>
      </c>
      <c r="F29">
        <f>Bilanca!G37</f>
        <v>28</v>
      </c>
      <c r="G29" t="str">
        <f>IF(Bilanca!H37=0,"",Bilanca!H37)</f>
        <v/>
      </c>
      <c r="H29" s="22">
        <f t="shared" si="1"/>
        <v>0</v>
      </c>
      <c r="I29" s="22">
        <f t="shared" si="0"/>
        <v>0</v>
      </c>
      <c r="J29" s="22">
        <f>ROUND(Bilanca!I37,2)</f>
        <v>0</v>
      </c>
      <c r="K29" s="22">
        <f>ROUND(Bilanca!J37,2)</f>
        <v>0</v>
      </c>
    </row>
    <row r="30" spans="1:11" x14ac:dyDescent="0.25">
      <c r="A30" t="s">
        <v>61</v>
      </c>
      <c r="B30" s="21">
        <f>RefStr!F60</f>
        <v>0</v>
      </c>
      <c r="D30" t="s">
        <v>31</v>
      </c>
      <c r="E30">
        <v>1</v>
      </c>
      <c r="F30">
        <f>Bilanca!G38</f>
        <v>29</v>
      </c>
      <c r="G30" t="str">
        <f>IF(Bilanca!H38=0,"",Bilanca!H38)</f>
        <v/>
      </c>
      <c r="H30" s="22">
        <f t="shared" si="1"/>
        <v>0</v>
      </c>
      <c r="I30" s="22">
        <f t="shared" si="0"/>
        <v>0</v>
      </c>
      <c r="J30" s="22">
        <f>ROUND(Bilanca!I38,2)</f>
        <v>0</v>
      </c>
      <c r="K30" s="22">
        <f>ROUND(Bilanca!J38,2)</f>
        <v>0</v>
      </c>
    </row>
    <row r="31" spans="1:11" x14ac:dyDescent="0.25">
      <c r="A31" t="s">
        <v>62</v>
      </c>
      <c r="B31" s="21" t="s">
        <v>63</v>
      </c>
      <c r="D31" t="s">
        <v>31</v>
      </c>
      <c r="E31">
        <v>1</v>
      </c>
      <c r="F31">
        <f>Bilanca!G39</f>
        <v>30</v>
      </c>
      <c r="G31" t="str">
        <f>IF(Bilanca!H39=0,"",Bilanca!H39)</f>
        <v/>
      </c>
      <c r="H31" s="22">
        <f t="shared" si="1"/>
        <v>0</v>
      </c>
      <c r="I31" s="22">
        <f t="shared" si="0"/>
        <v>0</v>
      </c>
      <c r="J31" s="22">
        <f>ROUND(Bilanca!I39,2)</f>
        <v>0</v>
      </c>
      <c r="K31" s="22">
        <f>ROUND(Bilanca!J39,2)</f>
        <v>0</v>
      </c>
    </row>
    <row r="32" spans="1:11" x14ac:dyDescent="0.25">
      <c r="A32" t="s">
        <v>64</v>
      </c>
      <c r="B32" s="21" t="s">
        <v>63</v>
      </c>
      <c r="D32" t="s">
        <v>31</v>
      </c>
      <c r="E32">
        <v>1</v>
      </c>
      <c r="F32">
        <f>Bilanca!G40</f>
        <v>31</v>
      </c>
      <c r="G32" t="str">
        <f>IF(Bilanca!H40=0,"",Bilanca!H40)</f>
        <v/>
      </c>
      <c r="H32" s="22">
        <f t="shared" si="1"/>
        <v>0</v>
      </c>
      <c r="I32" s="22">
        <f t="shared" si="0"/>
        <v>0</v>
      </c>
      <c r="J32" s="22">
        <f>ROUND(Bilanca!I40,2)</f>
        <v>0</v>
      </c>
      <c r="K32" s="22">
        <f>ROUND(Bilanca!J40,2)</f>
        <v>0</v>
      </c>
    </row>
    <row r="33" spans="1:11" x14ac:dyDescent="0.25">
      <c r="A33" t="s">
        <v>65</v>
      </c>
      <c r="B33" s="21" t="s">
        <v>63</v>
      </c>
      <c r="D33" t="s">
        <v>31</v>
      </c>
      <c r="E33">
        <v>1</v>
      </c>
      <c r="F33">
        <f>Bilanca!G41</f>
        <v>32</v>
      </c>
      <c r="G33" t="str">
        <f>IF(Bilanca!H41=0,"",Bilanca!H41)</f>
        <v/>
      </c>
      <c r="H33" s="22">
        <f t="shared" si="1"/>
        <v>0</v>
      </c>
      <c r="I33" s="22">
        <f t="shared" si="0"/>
        <v>0</v>
      </c>
      <c r="J33" s="22">
        <f>ROUND(Bilanca!I41,2)</f>
        <v>0</v>
      </c>
      <c r="K33" s="22">
        <f>ROUND(Bilanca!J41,2)</f>
        <v>0</v>
      </c>
    </row>
    <row r="34" spans="1:11" x14ac:dyDescent="0.25">
      <c r="A34" t="s">
        <v>66</v>
      </c>
      <c r="B34" s="21" t="s">
        <v>63</v>
      </c>
      <c r="D34" t="s">
        <v>31</v>
      </c>
      <c r="E34">
        <v>1</v>
      </c>
      <c r="F34">
        <f>Bilanca!G42</f>
        <v>33</v>
      </c>
      <c r="G34" t="str">
        <f>IF(Bilanca!H42=0,"",Bilanca!H42)</f>
        <v/>
      </c>
      <c r="H34" s="22">
        <f t="shared" si="1"/>
        <v>0</v>
      </c>
      <c r="I34" s="22">
        <f t="shared" ref="I34:I65" si="2">ABS(ROUND(J34,2)-J34)+ABS(ROUND(K34,2)-K34)</f>
        <v>0</v>
      </c>
      <c r="J34" s="22">
        <f>ROUND(Bilanca!I42,2)</f>
        <v>0</v>
      </c>
      <c r="K34" s="22">
        <f>ROUND(Bilanca!J42,2)</f>
        <v>0</v>
      </c>
    </row>
    <row r="35" spans="1:11" x14ac:dyDescent="0.25">
      <c r="A35" t="s">
        <v>67</v>
      </c>
      <c r="B35" s="21" t="s">
        <v>63</v>
      </c>
      <c r="D35" t="s">
        <v>31</v>
      </c>
      <c r="E35">
        <v>1</v>
      </c>
      <c r="F35">
        <f>Bilanca!G43</f>
        <v>34</v>
      </c>
      <c r="G35" t="str">
        <f>IF(Bilanca!H43=0,"",Bilanca!H43)</f>
        <v/>
      </c>
      <c r="H35" s="22">
        <f t="shared" si="1"/>
        <v>0</v>
      </c>
      <c r="I35" s="22">
        <f t="shared" si="2"/>
        <v>0</v>
      </c>
      <c r="J35" s="22">
        <f>ROUND(Bilanca!I43,2)</f>
        <v>0</v>
      </c>
      <c r="K35" s="22">
        <f>ROUND(Bilanca!J43,2)</f>
        <v>0</v>
      </c>
    </row>
    <row r="36" spans="1:11" x14ac:dyDescent="0.25">
      <c r="A36" t="s">
        <v>68</v>
      </c>
      <c r="B36" s="21" t="s">
        <v>63</v>
      </c>
      <c r="D36" t="s">
        <v>31</v>
      </c>
      <c r="E36">
        <v>1</v>
      </c>
      <c r="F36">
        <f>Bilanca!G44</f>
        <v>35</v>
      </c>
      <c r="G36" t="str">
        <f>IF(Bilanca!H44=0,"",Bilanca!H44)</f>
        <v/>
      </c>
      <c r="H36" s="22">
        <f t="shared" si="1"/>
        <v>0</v>
      </c>
      <c r="I36" s="22">
        <f t="shared" si="2"/>
        <v>0</v>
      </c>
      <c r="J36" s="22">
        <f>ROUND(Bilanca!I44,2)</f>
        <v>0</v>
      </c>
      <c r="K36" s="22">
        <f>ROUND(Bilanca!J44,2)</f>
        <v>0</v>
      </c>
    </row>
    <row r="37" spans="1:11" x14ac:dyDescent="0.25">
      <c r="A37" t="s">
        <v>69</v>
      </c>
      <c r="B37" s="21">
        <f>RefStr!B64</f>
        <v>0</v>
      </c>
      <c r="D37" t="s">
        <v>31</v>
      </c>
      <c r="E37">
        <v>1</v>
      </c>
      <c r="F37">
        <f>Bilanca!G45</f>
        <v>36</v>
      </c>
      <c r="G37" t="str">
        <f>IF(Bilanca!H45=0,"",Bilanca!H45)</f>
        <v/>
      </c>
      <c r="H37" s="22">
        <f t="shared" si="1"/>
        <v>0</v>
      </c>
      <c r="I37" s="22">
        <f t="shared" si="2"/>
        <v>0</v>
      </c>
      <c r="J37" s="22">
        <f>ROUND(Bilanca!I45,2)</f>
        <v>0</v>
      </c>
      <c r="K37" s="22">
        <f>ROUND(Bilanca!J45,2)</f>
        <v>0</v>
      </c>
    </row>
    <row r="38" spans="1:11" x14ac:dyDescent="0.25">
      <c r="A38" t="s">
        <v>70</v>
      </c>
      <c r="B38" s="21">
        <f>RefStr!B66</f>
        <v>0</v>
      </c>
      <c r="D38" t="s">
        <v>31</v>
      </c>
      <c r="E38">
        <v>1</v>
      </c>
      <c r="F38">
        <f>Bilanca!G46</f>
        <v>37</v>
      </c>
      <c r="G38" t="str">
        <f>IF(Bilanca!H46=0,"",Bilanca!H46)</f>
        <v/>
      </c>
      <c r="H38" s="22">
        <f t="shared" si="1"/>
        <v>0</v>
      </c>
      <c r="I38" s="22">
        <f t="shared" si="2"/>
        <v>0</v>
      </c>
      <c r="J38" s="22">
        <f>ROUND(Bilanca!I46,2)</f>
        <v>0</v>
      </c>
      <c r="K38" s="22">
        <f>ROUND(Bilanca!J46,2)</f>
        <v>0</v>
      </c>
    </row>
    <row r="39" spans="1:11" x14ac:dyDescent="0.25">
      <c r="A39" t="s">
        <v>71</v>
      </c>
      <c r="B39" s="21">
        <f>RefStr!C68</f>
        <v>0</v>
      </c>
      <c r="D39" t="s">
        <v>31</v>
      </c>
      <c r="E39">
        <v>1</v>
      </c>
      <c r="F39">
        <f>Bilanca!G47</f>
        <v>38</v>
      </c>
      <c r="G39" t="str">
        <f>IF(Bilanca!H47=0,"",Bilanca!H47)</f>
        <v/>
      </c>
      <c r="H39" s="22">
        <f t="shared" si="1"/>
        <v>0</v>
      </c>
      <c r="I39" s="22">
        <f t="shared" si="2"/>
        <v>0</v>
      </c>
      <c r="J39" s="22">
        <f>ROUND(Bilanca!I47,2)</f>
        <v>0</v>
      </c>
      <c r="K39" s="22">
        <f>ROUND(Bilanca!J47,2)</f>
        <v>0</v>
      </c>
    </row>
    <row r="40" spans="1:11" x14ac:dyDescent="0.25">
      <c r="A40" t="s">
        <v>72</v>
      </c>
      <c r="B40" s="21" t="str">
        <f>TRIM(RefStr!C70)</f>
        <v/>
      </c>
      <c r="D40" t="s">
        <v>31</v>
      </c>
      <c r="E40">
        <v>1</v>
      </c>
      <c r="F40">
        <f>Bilanca!G48</f>
        <v>39</v>
      </c>
      <c r="G40" t="str">
        <f>IF(Bilanca!H48=0,"",Bilanca!H48)</f>
        <v/>
      </c>
      <c r="H40" s="22">
        <f t="shared" si="1"/>
        <v>0</v>
      </c>
      <c r="I40" s="22">
        <f t="shared" si="2"/>
        <v>0</v>
      </c>
      <c r="J40" s="22">
        <f>ROUND(Bilanca!I48,2)</f>
        <v>0</v>
      </c>
      <c r="K40" s="22">
        <f>ROUND(Bilanca!J48,2)</f>
        <v>0</v>
      </c>
    </row>
    <row r="41" spans="1:11" x14ac:dyDescent="0.25">
      <c r="A41" t="s">
        <v>73</v>
      </c>
      <c r="B41" s="21" t="s">
        <v>74</v>
      </c>
      <c r="D41" t="s">
        <v>31</v>
      </c>
      <c r="E41">
        <v>1</v>
      </c>
      <c r="F41">
        <f>Bilanca!G49</f>
        <v>40</v>
      </c>
      <c r="G41" t="str">
        <f>IF(Bilanca!H49=0,"",Bilanca!H49)</f>
        <v/>
      </c>
      <c r="H41" s="22">
        <f t="shared" si="1"/>
        <v>0</v>
      </c>
      <c r="I41" s="22">
        <f t="shared" si="2"/>
        <v>0</v>
      </c>
      <c r="J41" s="22">
        <f>ROUND(Bilanca!I49,2)</f>
        <v>0</v>
      </c>
      <c r="K41" s="22">
        <f>ROUND(Bilanca!J49,2)</f>
        <v>0</v>
      </c>
    </row>
    <row r="42" spans="1:11" x14ac:dyDescent="0.25">
      <c r="A42" t="s">
        <v>75</v>
      </c>
      <c r="B42" s="21" t="str">
        <f>TRIM(RefStr!C72)</f>
        <v/>
      </c>
      <c r="D42" t="s">
        <v>31</v>
      </c>
      <c r="E42">
        <v>1</v>
      </c>
      <c r="F42">
        <f>Bilanca!G50</f>
        <v>41</v>
      </c>
      <c r="G42" t="str">
        <f>IF(Bilanca!H50=0,"",Bilanca!H50)</f>
        <v/>
      </c>
      <c r="H42" s="22">
        <f t="shared" si="1"/>
        <v>0</v>
      </c>
      <c r="I42" s="22">
        <f t="shared" si="2"/>
        <v>0</v>
      </c>
      <c r="J42" s="22">
        <f>ROUND(Bilanca!I50,2)</f>
        <v>0</v>
      </c>
      <c r="K42" s="22">
        <f>ROUND(Bilanca!J50,2)</f>
        <v>0</v>
      </c>
    </row>
    <row r="43" spans="1:11" x14ac:dyDescent="0.25">
      <c r="A43" t="s">
        <v>76</v>
      </c>
      <c r="B43" s="21" t="str">
        <f>TRIM(RefStr!A75)</f>
        <v/>
      </c>
      <c r="D43" t="s">
        <v>31</v>
      </c>
      <c r="E43">
        <v>1</v>
      </c>
      <c r="F43">
        <f>Bilanca!G51</f>
        <v>42</v>
      </c>
      <c r="G43" t="str">
        <f>IF(Bilanca!H51=0,"",Bilanca!H51)</f>
        <v/>
      </c>
      <c r="H43" s="22">
        <f t="shared" si="1"/>
        <v>0</v>
      </c>
      <c r="I43" s="22">
        <f t="shared" si="2"/>
        <v>0</v>
      </c>
      <c r="J43" s="22">
        <f>ROUND(Bilanca!I51,2)</f>
        <v>0</v>
      </c>
      <c r="K43" s="22">
        <f>ROUND(Bilanca!J51,2)</f>
        <v>0</v>
      </c>
    </row>
    <row r="44" spans="1:11" x14ac:dyDescent="0.25">
      <c r="A44" t="s">
        <v>77</v>
      </c>
      <c r="B44" s="21" t="str">
        <f>IF(RefStr!C4&lt;&gt;"",TEXT(RefStr!C4,"YYYYMMDD"),"")</f>
        <v/>
      </c>
      <c r="D44" t="s">
        <v>31</v>
      </c>
      <c r="E44">
        <v>1</v>
      </c>
      <c r="F44">
        <f>Bilanca!G52</f>
        <v>43</v>
      </c>
      <c r="G44" t="str">
        <f>IF(Bilanca!H52=0,"",Bilanca!H52)</f>
        <v/>
      </c>
      <c r="H44" s="22">
        <f t="shared" si="1"/>
        <v>0</v>
      </c>
      <c r="I44" s="22">
        <f t="shared" si="2"/>
        <v>0</v>
      </c>
      <c r="J44" s="22">
        <f>ROUND(Bilanca!I52,2)</f>
        <v>0</v>
      </c>
      <c r="K44" s="22">
        <f>ROUND(Bilanca!J52,2)</f>
        <v>0</v>
      </c>
    </row>
    <row r="45" spans="1:11" x14ac:dyDescent="0.25">
      <c r="A45" t="s">
        <v>78</v>
      </c>
      <c r="B45" s="21" t="str">
        <f>IF(RefStr!F4&lt;&gt;"",TEXT(RefStr!F4,"YYYYMMDD"),"")</f>
        <v/>
      </c>
      <c r="D45" t="s">
        <v>31</v>
      </c>
      <c r="E45">
        <v>1</v>
      </c>
      <c r="F45">
        <f>Bilanca!G53</f>
        <v>44</v>
      </c>
      <c r="G45" t="str">
        <f>IF(Bilanca!H53=0,"",Bilanca!H53)</f>
        <v/>
      </c>
      <c r="H45" s="22">
        <f t="shared" si="1"/>
        <v>0</v>
      </c>
      <c r="I45" s="22">
        <f t="shared" si="2"/>
        <v>0</v>
      </c>
      <c r="J45" s="22">
        <f>ROUND(Bilanca!I53,2)</f>
        <v>0</v>
      </c>
      <c r="K45" s="22">
        <f>ROUND(Bilanca!J53,2)</f>
        <v>0</v>
      </c>
    </row>
    <row r="46" spans="1:11" x14ac:dyDescent="0.25">
      <c r="A46" t="s">
        <v>79</v>
      </c>
      <c r="B46" s="21" t="str">
        <f>IF(Bilanca!Q1&lt;&gt;0,"DA", "NE")</f>
        <v>NE</v>
      </c>
      <c r="D46" t="s">
        <v>31</v>
      </c>
      <c r="E46">
        <v>1</v>
      </c>
      <c r="F46">
        <f>Bilanca!G54</f>
        <v>45</v>
      </c>
      <c r="G46" t="str">
        <f>IF(Bilanca!H54=0,"",Bilanca!H54)</f>
        <v/>
      </c>
      <c r="H46" s="22">
        <f t="shared" si="1"/>
        <v>0</v>
      </c>
      <c r="I46" s="22">
        <f t="shared" si="2"/>
        <v>0</v>
      </c>
      <c r="J46" s="22">
        <f>ROUND(Bilanca!I54,2)</f>
        <v>0</v>
      </c>
      <c r="K46" s="22">
        <f>ROUND(Bilanca!J54,2)</f>
        <v>0</v>
      </c>
    </row>
    <row r="47" spans="1:11" x14ac:dyDescent="0.25">
      <c r="A47" t="s">
        <v>80</v>
      </c>
      <c r="B47" s="21" t="str">
        <f>IF(RDG!Q1&lt;&gt;0, "DA","NE")</f>
        <v>NE</v>
      </c>
      <c r="D47" t="s">
        <v>31</v>
      </c>
      <c r="E47">
        <v>1</v>
      </c>
      <c r="F47">
        <f>Bilanca!G55</f>
        <v>46</v>
      </c>
      <c r="G47" t="str">
        <f>IF(Bilanca!H55=0,"",Bilanca!H55)</f>
        <v/>
      </c>
      <c r="H47" s="22">
        <f t="shared" si="1"/>
        <v>0</v>
      </c>
      <c r="I47" s="22">
        <f t="shared" si="2"/>
        <v>0</v>
      </c>
      <c r="J47" s="22">
        <f>IF($B$71="HRK",ROUND(Bilanca!I55,0),ROUND(Bilanca!I55,2))</f>
        <v>0</v>
      </c>
      <c r="K47" s="22">
        <f>IF($B$71="HRK",ROUND(Bilanca!J55,0),ROUND(Bilanca!J55,2))</f>
        <v>0</v>
      </c>
    </row>
    <row r="48" spans="1:11" x14ac:dyDescent="0.25">
      <c r="A48" t="s">
        <v>81</v>
      </c>
      <c r="B48" s="21" t="str">
        <f>RefStr!I54</f>
        <v>NE</v>
      </c>
      <c r="D48" t="s">
        <v>31</v>
      </c>
      <c r="E48">
        <v>1</v>
      </c>
      <c r="F48">
        <f>Bilanca!G56</f>
        <v>47</v>
      </c>
      <c r="G48" t="str">
        <f>IF(Bilanca!H56=0,"",Bilanca!H56)</f>
        <v/>
      </c>
      <c r="H48" s="22">
        <f t="shared" si="1"/>
        <v>0</v>
      </c>
      <c r="I48" s="22">
        <f t="shared" si="2"/>
        <v>0</v>
      </c>
      <c r="J48" s="22">
        <f>ROUND(Bilanca!I56,2)</f>
        <v>0</v>
      </c>
      <c r="K48" s="22">
        <f>ROUND(Bilanca!J56,2)</f>
        <v>0</v>
      </c>
    </row>
    <row r="49" spans="1:11" x14ac:dyDescent="0.25">
      <c r="A49" t="s">
        <v>82</v>
      </c>
      <c r="B49" s="21" t="str">
        <f>IF(NT_I!Q1&lt;&gt;0,"DA","NE")</f>
        <v>NE</v>
      </c>
      <c r="D49" t="s">
        <v>31</v>
      </c>
      <c r="E49">
        <v>1</v>
      </c>
      <c r="F49">
        <f>Bilanca!G57</f>
        <v>48</v>
      </c>
      <c r="G49" t="str">
        <f>IF(Bilanca!H57=0,"",Bilanca!H57)</f>
        <v/>
      </c>
      <c r="H49" s="22">
        <f t="shared" si="1"/>
        <v>0</v>
      </c>
      <c r="I49" s="22">
        <f t="shared" si="2"/>
        <v>0</v>
      </c>
      <c r="J49" s="22">
        <f>ROUND(Bilanca!I57,2)</f>
        <v>0</v>
      </c>
      <c r="K49" s="22">
        <f>ROUND(Bilanca!J57,2)</f>
        <v>0</v>
      </c>
    </row>
    <row r="50" spans="1:11" x14ac:dyDescent="0.25">
      <c r="A50" t="s">
        <v>83</v>
      </c>
      <c r="B50" s="21" t="str">
        <f>IF(NT_D!Q1&lt;&gt;0, "DA", "NE")</f>
        <v>NE</v>
      </c>
      <c r="D50" t="s">
        <v>31</v>
      </c>
      <c r="E50">
        <v>1</v>
      </c>
      <c r="F50">
        <f>Bilanca!G58</f>
        <v>49</v>
      </c>
      <c r="G50" t="str">
        <f>IF(Bilanca!H58=0,"",Bilanca!H58)</f>
        <v/>
      </c>
      <c r="H50" s="22">
        <f t="shared" si="1"/>
        <v>0</v>
      </c>
      <c r="I50" s="22">
        <f t="shared" si="2"/>
        <v>0</v>
      </c>
      <c r="J50" s="22">
        <f>ROUND(Bilanca!I58,2)</f>
        <v>0</v>
      </c>
      <c r="K50" s="22">
        <f>ROUND(Bilanca!J58,2)</f>
        <v>0</v>
      </c>
    </row>
    <row r="51" spans="1:11" x14ac:dyDescent="0.25">
      <c r="A51" t="s">
        <v>84</v>
      </c>
      <c r="B51" s="21" t="str">
        <f>RefStr!I60</f>
        <v>NE</v>
      </c>
      <c r="D51" t="s">
        <v>31</v>
      </c>
      <c r="E51">
        <v>1</v>
      </c>
      <c r="F51">
        <f>Bilanca!G59</f>
        <v>50</v>
      </c>
      <c r="G51" t="str">
        <f>IF(Bilanca!H59=0,"",Bilanca!H59)</f>
        <v/>
      </c>
      <c r="H51" s="22">
        <f t="shared" si="1"/>
        <v>0</v>
      </c>
      <c r="I51" s="22">
        <f t="shared" si="2"/>
        <v>0</v>
      </c>
      <c r="J51" s="22">
        <f>ROUND(Bilanca!I59,2)</f>
        <v>0</v>
      </c>
      <c r="K51" s="22">
        <f>ROUND(Bilanca!J59,2)</f>
        <v>0</v>
      </c>
    </row>
    <row r="52" spans="1:11" x14ac:dyDescent="0.25">
      <c r="A52" t="s">
        <v>85</v>
      </c>
      <c r="B52" s="21" t="s">
        <v>86</v>
      </c>
      <c r="D52" t="s">
        <v>31</v>
      </c>
      <c r="E52">
        <v>1</v>
      </c>
      <c r="F52">
        <f>Bilanca!G60</f>
        <v>51</v>
      </c>
      <c r="G52" t="str">
        <f>IF(Bilanca!H60=0,"",Bilanca!H60)</f>
        <v/>
      </c>
      <c r="H52" s="22">
        <f t="shared" si="1"/>
        <v>0</v>
      </c>
      <c r="I52" s="22">
        <f t="shared" si="2"/>
        <v>0</v>
      </c>
      <c r="J52" s="22">
        <f>ROUND(Bilanca!I60,2)</f>
        <v>0</v>
      </c>
      <c r="K52" s="22">
        <f>ROUND(Bilanca!J60,2)</f>
        <v>0</v>
      </c>
    </row>
    <row r="53" spans="1:11" x14ac:dyDescent="0.25">
      <c r="A53" t="s">
        <v>87</v>
      </c>
      <c r="B53" s="21" t="str">
        <f>RefStr!I56</f>
        <v>NE</v>
      </c>
      <c r="D53" t="s">
        <v>31</v>
      </c>
      <c r="E53">
        <v>1</v>
      </c>
      <c r="F53">
        <f>Bilanca!G61</f>
        <v>52</v>
      </c>
      <c r="G53" t="str">
        <f>IF(Bilanca!H61=0,"",Bilanca!H61)</f>
        <v/>
      </c>
      <c r="H53" s="22">
        <f t="shared" si="1"/>
        <v>0</v>
      </c>
      <c r="I53" s="22">
        <f t="shared" si="2"/>
        <v>0</v>
      </c>
      <c r="J53" s="22">
        <f>ROUND(Bilanca!I61,2)</f>
        <v>0</v>
      </c>
      <c r="K53" s="22">
        <f>ROUND(Bilanca!J61,2)</f>
        <v>0</v>
      </c>
    </row>
    <row r="54" spans="1:11" x14ac:dyDescent="0.25">
      <c r="A54" t="s">
        <v>88</v>
      </c>
      <c r="B54" s="21" t="str">
        <f>RefStr!I62</f>
        <v>NE</v>
      </c>
      <c r="D54" t="s">
        <v>31</v>
      </c>
      <c r="E54">
        <v>1</v>
      </c>
      <c r="F54">
        <f>Bilanca!G62</f>
        <v>53</v>
      </c>
      <c r="G54" t="str">
        <f>IF(Bilanca!H62=0,"",Bilanca!H62)</f>
        <v/>
      </c>
      <c r="H54" s="22">
        <f t="shared" si="1"/>
        <v>0</v>
      </c>
      <c r="I54" s="22">
        <f t="shared" si="2"/>
        <v>0</v>
      </c>
      <c r="J54" s="22">
        <f>ROUND(Bilanca!I62,2)</f>
        <v>0</v>
      </c>
      <c r="K54" s="22">
        <f>ROUND(Bilanca!J62,2)</f>
        <v>0</v>
      </c>
    </row>
    <row r="55" spans="1:11" x14ac:dyDescent="0.25">
      <c r="A55" t="s">
        <v>89</v>
      </c>
      <c r="B55" s="21" t="str">
        <f>RefStr!I64</f>
        <v>NE</v>
      </c>
      <c r="D55" t="s">
        <v>31</v>
      </c>
      <c r="E55">
        <v>1</v>
      </c>
      <c r="F55">
        <f>Bilanca!G63</f>
        <v>54</v>
      </c>
      <c r="G55" t="str">
        <f>IF(Bilanca!H63=0,"",Bilanca!H63)</f>
        <v/>
      </c>
      <c r="H55" s="22">
        <f t="shared" si="1"/>
        <v>0</v>
      </c>
      <c r="I55" s="22">
        <f t="shared" si="2"/>
        <v>0</v>
      </c>
      <c r="J55" s="22">
        <f>ROUND(Bilanca!I63,2)</f>
        <v>0</v>
      </c>
      <c r="K55" s="22">
        <f>ROUND(Bilanca!J63,2)</f>
        <v>0</v>
      </c>
    </row>
    <row r="56" spans="1:11" x14ac:dyDescent="0.25">
      <c r="A56" t="s">
        <v>90</v>
      </c>
      <c r="B56" s="21" t="str">
        <f>RefStr!I66</f>
        <v>NE</v>
      </c>
      <c r="D56" t="s">
        <v>31</v>
      </c>
      <c r="E56">
        <v>1</v>
      </c>
      <c r="F56">
        <f>Bilanca!G64</f>
        <v>55</v>
      </c>
      <c r="G56" t="str">
        <f>IF(Bilanca!H64=0,"",Bilanca!H64)</f>
        <v/>
      </c>
      <c r="H56" s="22">
        <f t="shared" si="1"/>
        <v>0</v>
      </c>
      <c r="I56" s="22">
        <f t="shared" si="2"/>
        <v>0</v>
      </c>
      <c r="J56" s="22">
        <f>ROUND(Bilanca!I64,2)</f>
        <v>0</v>
      </c>
      <c r="K56" s="22">
        <f>ROUND(Bilanca!J64,2)</f>
        <v>0</v>
      </c>
    </row>
    <row r="57" spans="1:11" x14ac:dyDescent="0.25">
      <c r="A57" t="s">
        <v>91</v>
      </c>
      <c r="B57" s="21" t="str">
        <f>RefStr!I68</f>
        <v>NE</v>
      </c>
      <c r="D57" t="s">
        <v>31</v>
      </c>
      <c r="E57">
        <v>1</v>
      </c>
      <c r="F57">
        <f>Bilanca!G65</f>
        <v>56</v>
      </c>
      <c r="G57" t="str">
        <f>IF(Bilanca!H65=0,"",Bilanca!H65)</f>
        <v/>
      </c>
      <c r="H57" s="22">
        <f t="shared" si="1"/>
        <v>0</v>
      </c>
      <c r="I57" s="22">
        <f t="shared" si="2"/>
        <v>0</v>
      </c>
      <c r="J57" s="22">
        <f>ROUND(Bilanca!I65,2)</f>
        <v>0</v>
      </c>
      <c r="K57" s="22">
        <f>ROUND(Bilanca!J65,2)</f>
        <v>0</v>
      </c>
    </row>
    <row r="58" spans="1:11" x14ac:dyDescent="0.25">
      <c r="A58" t="s">
        <v>92</v>
      </c>
      <c r="B58" s="21" t="str">
        <f ca="1">IF(Kont!J4&gt;0,"NE", "DA")</f>
        <v>NE</v>
      </c>
      <c r="D58" t="s">
        <v>31</v>
      </c>
      <c r="E58">
        <v>1</v>
      </c>
      <c r="F58">
        <f>Bilanca!G66</f>
        <v>57</v>
      </c>
      <c r="G58" t="str">
        <f>IF(Bilanca!H66=0,"",Bilanca!H66)</f>
        <v/>
      </c>
      <c r="H58" s="22">
        <f t="shared" si="1"/>
        <v>0</v>
      </c>
      <c r="I58" s="22">
        <f t="shared" si="2"/>
        <v>0</v>
      </c>
      <c r="J58" s="22">
        <f>ROUND(Bilanca!I66,2)</f>
        <v>0</v>
      </c>
      <c r="K58" s="22">
        <f>ROUND(Bilanca!J66,2)</f>
        <v>0</v>
      </c>
    </row>
    <row r="59" spans="1:11" x14ac:dyDescent="0.25">
      <c r="A59" t="s">
        <v>93</v>
      </c>
      <c r="B59" s="22">
        <f>SUM(H2:H221)+SUM(RefStr!Q9:Q65)</f>
        <v>4.22</v>
      </c>
      <c r="D59" t="s">
        <v>31</v>
      </c>
      <c r="E59">
        <v>1</v>
      </c>
      <c r="F59">
        <f>Bilanca!G68</f>
        <v>58</v>
      </c>
      <c r="G59" t="str">
        <f>IF(Bilanca!H68=0,"",Bilanca!H68)</f>
        <v/>
      </c>
      <c r="H59" s="22">
        <f t="shared" si="1"/>
        <v>0</v>
      </c>
      <c r="I59" s="22">
        <f t="shared" si="2"/>
        <v>0</v>
      </c>
      <c r="J59" s="22">
        <f>ROUND(Bilanca!I68,2)</f>
        <v>0</v>
      </c>
      <c r="K59" s="22">
        <f>ROUND(Bilanca!J68,2)</f>
        <v>0</v>
      </c>
    </row>
    <row r="60" spans="1:11" x14ac:dyDescent="0.25">
      <c r="A60" t="s">
        <v>94</v>
      </c>
      <c r="B60" s="21" t="s">
        <v>63</v>
      </c>
      <c r="D60" t="s">
        <v>31</v>
      </c>
      <c r="E60">
        <v>1</v>
      </c>
      <c r="F60">
        <f>Bilanca!G69</f>
        <v>59</v>
      </c>
      <c r="G60" t="str">
        <f>IF(Bilanca!H69=0,"",Bilanca!H69)</f>
        <v/>
      </c>
      <c r="H60" s="22">
        <f t="shared" si="1"/>
        <v>0</v>
      </c>
      <c r="I60" s="22">
        <f t="shared" si="2"/>
        <v>0</v>
      </c>
      <c r="J60" s="22">
        <f>ROUND(Bilanca!I69,2)</f>
        <v>0</v>
      </c>
      <c r="K60" s="22">
        <f>ROUND(Bilanca!J69,2)</f>
        <v>0</v>
      </c>
    </row>
    <row r="61" spans="1:11" x14ac:dyDescent="0.25">
      <c r="A61" t="s">
        <v>95</v>
      </c>
      <c r="B61" s="22">
        <v>0</v>
      </c>
      <c r="D61" t="s">
        <v>96</v>
      </c>
      <c r="E61">
        <v>2</v>
      </c>
      <c r="F61">
        <f>RDG!G9</f>
        <v>60</v>
      </c>
      <c r="G61" t="str">
        <f>IF(RDG!H9=0,"",RDG!H9)</f>
        <v/>
      </c>
      <c r="H61" s="22">
        <f>J61/100*F61+2*K61/100*F61</f>
        <v>0</v>
      </c>
      <c r="I61" s="22">
        <f t="shared" si="2"/>
        <v>0</v>
      </c>
      <c r="J61" s="22">
        <f>ROUND(RDG!I9,2)</f>
        <v>0</v>
      </c>
      <c r="K61" s="22">
        <f>ROUND(RDG!J9,2)</f>
        <v>0</v>
      </c>
    </row>
    <row r="62" spans="1:11" x14ac:dyDescent="0.25">
      <c r="A62" t="s">
        <v>97</v>
      </c>
      <c r="B62" s="21">
        <f>RefStr!I70</f>
        <v>0</v>
      </c>
      <c r="D62" t="s">
        <v>96</v>
      </c>
      <c r="E62">
        <v>2</v>
      </c>
      <c r="F62">
        <f>RDG!G10</f>
        <v>61</v>
      </c>
      <c r="G62" t="str">
        <f>IF(RDG!H10=0,"",RDG!H10)</f>
        <v/>
      </c>
      <c r="H62" s="22">
        <f>J62/100*F62+2*K62/100*F62</f>
        <v>0</v>
      </c>
      <c r="I62" s="22">
        <f t="shared" si="2"/>
        <v>0</v>
      </c>
      <c r="J62" s="22">
        <f>ROUND(RDG!I10,2)</f>
        <v>0</v>
      </c>
      <c r="K62" s="22">
        <f>ROUND(RDG!J10,2)</f>
        <v>0</v>
      </c>
    </row>
    <row r="63" spans="1:11" x14ac:dyDescent="0.25">
      <c r="A63" t="s">
        <v>98</v>
      </c>
      <c r="B63" s="21" t="str">
        <f>IF(ISNUMBER(VALUE(RefStr!L21)),TEXT(INT(VALUE(RefStr!L21)),"00000000000"),"")</f>
        <v>00000000000</v>
      </c>
      <c r="D63" t="s">
        <v>96</v>
      </c>
      <c r="E63">
        <v>2</v>
      </c>
      <c r="F63">
        <f>RDG!G11</f>
        <v>62</v>
      </c>
      <c r="G63" t="str">
        <f>IF(RDG!H11=0,"",RDG!H11)</f>
        <v/>
      </c>
      <c r="H63" s="22">
        <f t="shared" ref="H63:H108" si="3">J63/100*F63+2*K63/100*F63</f>
        <v>0</v>
      </c>
      <c r="I63" s="22">
        <f t="shared" si="2"/>
        <v>0</v>
      </c>
      <c r="J63" s="22">
        <f>ROUND(RDG!I11,2)</f>
        <v>0</v>
      </c>
      <c r="K63" s="22">
        <f>ROUND(RDG!J11,2)</f>
        <v>0</v>
      </c>
    </row>
    <row r="64" spans="1:11" x14ac:dyDescent="0.25">
      <c r="A64" t="s">
        <v>99</v>
      </c>
      <c r="B64" s="21" t="str">
        <f>RefStr!N6</f>
        <v>DA</v>
      </c>
      <c r="D64" t="s">
        <v>96</v>
      </c>
      <c r="E64">
        <v>2</v>
      </c>
      <c r="F64">
        <f>RDG!G12</f>
        <v>63</v>
      </c>
      <c r="G64" t="str">
        <f>IF(RDG!H12=0,"",RDG!H12)</f>
        <v/>
      </c>
      <c r="H64" s="22">
        <f t="shared" si="3"/>
        <v>0</v>
      </c>
      <c r="I64" s="22">
        <f t="shared" si="2"/>
        <v>0</v>
      </c>
      <c r="J64" s="22">
        <f>ROUND(RDG!I12,2)</f>
        <v>0</v>
      </c>
      <c r="K64" s="22">
        <f>ROUND(RDG!J12,2)</f>
        <v>0</v>
      </c>
    </row>
    <row r="65" spans="1:11" x14ac:dyDescent="0.25">
      <c r="A65" t="s">
        <v>100</v>
      </c>
      <c r="B65" s="21" t="str">
        <f>RefStr!N19</f>
        <v>HSFI</v>
      </c>
      <c r="D65" t="s">
        <v>96</v>
      </c>
      <c r="E65">
        <v>2</v>
      </c>
      <c r="F65">
        <f>RDG!G13</f>
        <v>64</v>
      </c>
      <c r="G65" t="str">
        <f>IF(RDG!H13=0,"",RDG!H13)</f>
        <v/>
      </c>
      <c r="H65" s="22">
        <f t="shared" si="3"/>
        <v>0</v>
      </c>
      <c r="I65" s="22">
        <f t="shared" si="2"/>
        <v>0</v>
      </c>
      <c r="J65" s="22">
        <f>ROUND(RDG!I13,2)</f>
        <v>0</v>
      </c>
      <c r="K65" s="22">
        <f>ROUND(RDG!J13,2)</f>
        <v>0</v>
      </c>
    </row>
    <row r="66" spans="1:11" x14ac:dyDescent="0.25">
      <c r="A66" t="s">
        <v>101</v>
      </c>
      <c r="B66" s="21">
        <f>RefStr!C23</f>
        <v>1</v>
      </c>
      <c r="D66" t="s">
        <v>96</v>
      </c>
      <c r="E66">
        <v>2</v>
      </c>
      <c r="F66">
        <f>RDG!G14</f>
        <v>65</v>
      </c>
      <c r="G66" t="str">
        <f>IF(RDG!H14=0,"",RDG!H14)</f>
        <v/>
      </c>
      <c r="H66" s="22">
        <f t="shared" si="3"/>
        <v>0</v>
      </c>
      <c r="I66" s="22">
        <f t="shared" ref="I66:I97" si="4">ABS(ROUND(J66,2)-J66)+ABS(ROUND(K66,2)-K66)</f>
        <v>0</v>
      </c>
      <c r="J66" s="22">
        <f>ROUND(RDG!I14,2)</f>
        <v>0</v>
      </c>
      <c r="K66" s="22">
        <f>ROUND(RDG!J14,2)</f>
        <v>0</v>
      </c>
    </row>
    <row r="67" spans="1:11" x14ac:dyDescent="0.25">
      <c r="A67" t="s">
        <v>102</v>
      </c>
      <c r="B67" s="21">
        <f>RefStr!L35</f>
        <v>0</v>
      </c>
      <c r="D67" t="s">
        <v>96</v>
      </c>
      <c r="E67">
        <v>2</v>
      </c>
      <c r="F67">
        <f>RDG!G15</f>
        <v>66</v>
      </c>
      <c r="G67" t="str">
        <f>IF(RDG!H15=0,"",RDG!H15)</f>
        <v/>
      </c>
      <c r="H67" s="22">
        <f t="shared" si="3"/>
        <v>0</v>
      </c>
      <c r="I67" s="22">
        <f t="shared" si="4"/>
        <v>0</v>
      </c>
      <c r="J67" s="22">
        <f>ROUND(RDG!I15,2)</f>
        <v>0</v>
      </c>
      <c r="K67" s="22">
        <f>ROUND(RDG!J15,2)</f>
        <v>0</v>
      </c>
    </row>
    <row r="68" spans="1:11" x14ac:dyDescent="0.25">
      <c r="A68" t="s">
        <v>103</v>
      </c>
      <c r="B68" s="21">
        <f>RefStr!C44</f>
        <v>0</v>
      </c>
      <c r="D68" t="s">
        <v>96</v>
      </c>
      <c r="E68">
        <v>2</v>
      </c>
      <c r="F68">
        <f>RDG!G16</f>
        <v>67</v>
      </c>
      <c r="G68" t="str">
        <f>IF(RDG!H16=0,"",RDG!H16)</f>
        <v/>
      </c>
      <c r="H68" s="22">
        <f t="shared" si="3"/>
        <v>0</v>
      </c>
      <c r="I68" s="22">
        <f t="shared" si="4"/>
        <v>0</v>
      </c>
      <c r="J68" s="22">
        <f>ROUND(RDG!I16,2)</f>
        <v>0</v>
      </c>
      <c r="K68" s="22">
        <f>ROUND(RDG!J16,2)</f>
        <v>0</v>
      </c>
    </row>
    <row r="69" spans="1:11" x14ac:dyDescent="0.25">
      <c r="A69" t="s">
        <v>104</v>
      </c>
      <c r="B69" s="21">
        <f>RefStr!M46</f>
        <v>0</v>
      </c>
      <c r="D69" t="s">
        <v>96</v>
      </c>
      <c r="E69">
        <v>2</v>
      </c>
      <c r="F69">
        <f>RDG!G17</f>
        <v>68</v>
      </c>
      <c r="G69" t="str">
        <f>IF(RDG!H17=0,"",RDG!H17)</f>
        <v/>
      </c>
      <c r="H69" s="22">
        <f t="shared" si="3"/>
        <v>0</v>
      </c>
      <c r="I69" s="22">
        <f t="shared" si="4"/>
        <v>0</v>
      </c>
      <c r="J69" s="22">
        <f>ROUND(RDG!I17,2)</f>
        <v>0</v>
      </c>
      <c r="K69" s="22">
        <f>ROUND(RDG!J17,2)</f>
        <v>0</v>
      </c>
    </row>
    <row r="70" spans="1:11" x14ac:dyDescent="0.25">
      <c r="A70" t="s">
        <v>105</v>
      </c>
      <c r="B70" s="21">
        <f>RefStr!C46</f>
        <v>0</v>
      </c>
      <c r="D70" t="s">
        <v>96</v>
      </c>
      <c r="E70">
        <v>2</v>
      </c>
      <c r="F70">
        <f>RDG!G18</f>
        <v>69</v>
      </c>
      <c r="G70" t="str">
        <f>IF(RDG!H18=0,"",RDG!H18)</f>
        <v/>
      </c>
      <c r="H70" s="22">
        <f t="shared" si="3"/>
        <v>0</v>
      </c>
      <c r="I70" s="22">
        <f t="shared" si="4"/>
        <v>0</v>
      </c>
      <c r="J70" s="22">
        <f>ROUND(RDG!I18,2)</f>
        <v>0</v>
      </c>
      <c r="K70" s="22">
        <f>ROUND(RDG!J18,2)</f>
        <v>0</v>
      </c>
    </row>
    <row r="71" spans="1:11" x14ac:dyDescent="0.25">
      <c r="A71" t="s">
        <v>106</v>
      </c>
      <c r="B71" s="21" t="str">
        <f>IF(YEAR(RefStr!F4)&gt;2022,"EUR","HRK")</f>
        <v>HRK</v>
      </c>
      <c r="D71" t="s">
        <v>96</v>
      </c>
      <c r="E71">
        <v>2</v>
      </c>
      <c r="F71">
        <f>RDG!G20</f>
        <v>70</v>
      </c>
      <c r="G71" t="str">
        <f>IF(RDG!H20=0,"",RDG!H20)</f>
        <v/>
      </c>
      <c r="H71" s="22">
        <f t="shared" si="3"/>
        <v>0</v>
      </c>
      <c r="I71" s="22">
        <f t="shared" si="4"/>
        <v>0</v>
      </c>
      <c r="J71" s="22">
        <f>ROUND(RDG!I20,2)</f>
        <v>0</v>
      </c>
      <c r="K71" s="22">
        <f>ROUND(RDG!J20,2)</f>
        <v>0</v>
      </c>
    </row>
    <row r="72" spans="1:11" x14ac:dyDescent="0.25">
      <c r="A72" t="s">
        <v>107</v>
      </c>
      <c r="B72" s="21" t="s">
        <v>108</v>
      </c>
      <c r="D72" t="s">
        <v>96</v>
      </c>
      <c r="E72">
        <v>2</v>
      </c>
      <c r="F72">
        <f>RDG!G21</f>
        <v>71</v>
      </c>
      <c r="G72" t="str">
        <f>IF(RDG!H21=0,"",RDG!H21)</f>
        <v/>
      </c>
      <c r="H72" s="22">
        <f t="shared" si="3"/>
        <v>0</v>
      </c>
      <c r="I72" s="22">
        <f t="shared" si="4"/>
        <v>0</v>
      </c>
      <c r="J72" s="22">
        <f>ROUND(RDG!I21,2)</f>
        <v>0</v>
      </c>
      <c r="K72" s="22">
        <f>ROUND(RDG!J21,2)</f>
        <v>0</v>
      </c>
    </row>
    <row r="73" spans="1:11" x14ac:dyDescent="0.25">
      <c r="A73" t="s">
        <v>109</v>
      </c>
      <c r="B73" s="21" t="s">
        <v>86</v>
      </c>
      <c r="D73" t="s">
        <v>96</v>
      </c>
      <c r="E73">
        <v>2</v>
      </c>
      <c r="F73">
        <f>RDG!G22</f>
        <v>72</v>
      </c>
      <c r="G73" t="str">
        <f>IF(RDG!H22=0,"",RDG!H22)</f>
        <v/>
      </c>
      <c r="H73" s="22">
        <f t="shared" si="3"/>
        <v>0</v>
      </c>
      <c r="I73" s="22">
        <f t="shared" si="4"/>
        <v>0</v>
      </c>
      <c r="J73" s="22">
        <f>ROUND(RDG!I22,2)</f>
        <v>0</v>
      </c>
      <c r="K73" s="22">
        <f>ROUND(RDG!J22,2)</f>
        <v>0</v>
      </c>
    </row>
    <row r="74" spans="1:11" x14ac:dyDescent="0.25">
      <c r="D74" t="s">
        <v>96</v>
      </c>
      <c r="E74">
        <v>2</v>
      </c>
      <c r="F74">
        <f>RDG!G23</f>
        <v>73</v>
      </c>
      <c r="G74" t="str">
        <f>IF(RDG!H23=0,"",RDG!H23)</f>
        <v/>
      </c>
      <c r="H74" s="22">
        <f t="shared" si="3"/>
        <v>0</v>
      </c>
      <c r="I74" s="22">
        <f t="shared" si="4"/>
        <v>0</v>
      </c>
      <c r="J74" s="22">
        <f>ROUND(RDG!I23,2)</f>
        <v>0</v>
      </c>
      <c r="K74" s="22">
        <f>ROUND(RDG!J23,2)</f>
        <v>0</v>
      </c>
    </row>
    <row r="75" spans="1:11" x14ac:dyDescent="0.25">
      <c r="D75" t="s">
        <v>96</v>
      </c>
      <c r="E75">
        <v>2</v>
      </c>
      <c r="F75">
        <f>RDG!G24</f>
        <v>74</v>
      </c>
      <c r="G75" t="str">
        <f>IF(RDG!H24=0,"",RDG!H24)</f>
        <v/>
      </c>
      <c r="H75" s="22">
        <f t="shared" si="3"/>
        <v>0</v>
      </c>
      <c r="I75" s="22">
        <f t="shared" si="4"/>
        <v>0</v>
      </c>
      <c r="J75" s="22">
        <f>ROUND(RDG!I24,2)</f>
        <v>0</v>
      </c>
      <c r="K75" s="22">
        <f>ROUND(RDG!J24,2)</f>
        <v>0</v>
      </c>
    </row>
    <row r="76" spans="1:11" x14ac:dyDescent="0.25">
      <c r="D76" t="s">
        <v>96</v>
      </c>
      <c r="E76">
        <v>2</v>
      </c>
      <c r="F76">
        <f>RDG!G25</f>
        <v>75</v>
      </c>
      <c r="G76" t="str">
        <f>IF(RDG!H25=0,"",RDG!H25)</f>
        <v/>
      </c>
      <c r="H76" s="22">
        <f t="shared" si="3"/>
        <v>0</v>
      </c>
      <c r="I76" s="22">
        <f t="shared" si="4"/>
        <v>0</v>
      </c>
      <c r="J76" s="22">
        <f>ROUND(RDG!I25,2)</f>
        <v>0</v>
      </c>
      <c r="K76" s="22">
        <f>ROUND(RDG!J25,2)</f>
        <v>0</v>
      </c>
    </row>
    <row r="77" spans="1:11" x14ac:dyDescent="0.25">
      <c r="D77" t="s">
        <v>96</v>
      </c>
      <c r="E77">
        <v>2</v>
      </c>
      <c r="F77">
        <f>RDG!G26</f>
        <v>76</v>
      </c>
      <c r="G77" t="str">
        <f>IF(RDG!H26=0,"",RDG!H26)</f>
        <v/>
      </c>
      <c r="H77" s="22">
        <f t="shared" si="3"/>
        <v>0</v>
      </c>
      <c r="I77" s="22">
        <f t="shared" si="4"/>
        <v>0</v>
      </c>
      <c r="J77" s="22">
        <f>ROUND(RDG!I26,2)</f>
        <v>0</v>
      </c>
      <c r="K77" s="22">
        <f>ROUND(RDG!J26,2)</f>
        <v>0</v>
      </c>
    </row>
    <row r="78" spans="1:11" x14ac:dyDescent="0.25">
      <c r="D78" t="s">
        <v>96</v>
      </c>
      <c r="E78">
        <v>2</v>
      </c>
      <c r="F78">
        <f>RDG!G27</f>
        <v>77</v>
      </c>
      <c r="G78" t="str">
        <f>IF(RDG!H27=0,"",RDG!H27)</f>
        <v/>
      </c>
      <c r="H78" s="22">
        <f t="shared" si="3"/>
        <v>0</v>
      </c>
      <c r="I78" s="22">
        <f t="shared" si="4"/>
        <v>0</v>
      </c>
      <c r="J78" s="22">
        <f>ROUND(RDG!I27,2)</f>
        <v>0</v>
      </c>
      <c r="K78" s="22">
        <f>ROUND(RDG!J27,2)</f>
        <v>0</v>
      </c>
    </row>
    <row r="79" spans="1:11" x14ac:dyDescent="0.25">
      <c r="D79" t="s">
        <v>96</v>
      </c>
      <c r="E79">
        <v>2</v>
      </c>
      <c r="F79">
        <f>RDG!G28</f>
        <v>78</v>
      </c>
      <c r="G79" t="str">
        <f>IF(RDG!H28=0,"",RDG!H28)</f>
        <v/>
      </c>
      <c r="H79" s="22">
        <f t="shared" si="3"/>
        <v>0</v>
      </c>
      <c r="I79" s="22">
        <f t="shared" si="4"/>
        <v>0</v>
      </c>
      <c r="J79" s="22">
        <f>ROUND(RDG!I28,2)</f>
        <v>0</v>
      </c>
      <c r="K79" s="22">
        <f>ROUND(RDG!J28,2)</f>
        <v>0</v>
      </c>
    </row>
    <row r="80" spans="1:11" x14ac:dyDescent="0.25">
      <c r="D80" t="s">
        <v>96</v>
      </c>
      <c r="E80">
        <v>2</v>
      </c>
      <c r="F80">
        <f>RDG!G29</f>
        <v>79</v>
      </c>
      <c r="G80" t="str">
        <f>IF(RDG!H29=0,"",RDG!H29)</f>
        <v/>
      </c>
      <c r="H80" s="22">
        <f t="shared" si="3"/>
        <v>0</v>
      </c>
      <c r="I80" s="22">
        <f t="shared" si="4"/>
        <v>0</v>
      </c>
      <c r="J80" s="22">
        <f>ROUND(RDG!I29,2)</f>
        <v>0</v>
      </c>
      <c r="K80" s="22">
        <f>ROUND(RDG!J29,2)</f>
        <v>0</v>
      </c>
    </row>
    <row r="81" spans="4:11" x14ac:dyDescent="0.25">
      <c r="D81" t="s">
        <v>96</v>
      </c>
      <c r="E81">
        <v>2</v>
      </c>
      <c r="F81">
        <f>RDG!G30</f>
        <v>80</v>
      </c>
      <c r="G81" t="str">
        <f>IF(RDG!H30=0,"",RDG!H30)</f>
        <v/>
      </c>
      <c r="H81" s="22">
        <f t="shared" si="3"/>
        <v>0</v>
      </c>
      <c r="I81" s="22">
        <f t="shared" si="4"/>
        <v>0</v>
      </c>
      <c r="J81" s="22">
        <f>ROUND(RDG!I30,2)</f>
        <v>0</v>
      </c>
      <c r="K81" s="22">
        <f>ROUND(RDG!J30,2)</f>
        <v>0</v>
      </c>
    </row>
    <row r="82" spans="4:11" x14ac:dyDescent="0.25">
      <c r="D82" t="s">
        <v>96</v>
      </c>
      <c r="E82">
        <v>2</v>
      </c>
      <c r="F82">
        <f>RDG!G31</f>
        <v>81</v>
      </c>
      <c r="G82" t="str">
        <f>IF(RDG!H31=0,"",RDG!H31)</f>
        <v/>
      </c>
      <c r="H82" s="22">
        <f t="shared" si="3"/>
        <v>0</v>
      </c>
      <c r="I82" s="22">
        <f t="shared" si="4"/>
        <v>0</v>
      </c>
      <c r="J82" s="22">
        <f>ROUND(RDG!I31,2)</f>
        <v>0</v>
      </c>
      <c r="K82" s="22">
        <f>ROUND(RDG!J31,2)</f>
        <v>0</v>
      </c>
    </row>
    <row r="83" spans="4:11" x14ac:dyDescent="0.25">
      <c r="D83" t="s">
        <v>96</v>
      </c>
      <c r="E83">
        <v>2</v>
      </c>
      <c r="F83">
        <f>RDG!G32</f>
        <v>82</v>
      </c>
      <c r="G83" t="str">
        <f>IF(RDG!H32=0,"",RDG!H32)</f>
        <v/>
      </c>
      <c r="H83" s="22">
        <f t="shared" si="3"/>
        <v>0</v>
      </c>
      <c r="I83" s="22">
        <f t="shared" si="4"/>
        <v>0</v>
      </c>
      <c r="J83" s="22">
        <f>ROUND(RDG!I32,2)</f>
        <v>0</v>
      </c>
      <c r="K83" s="22">
        <f>ROUND(RDG!J32,2)</f>
        <v>0</v>
      </c>
    </row>
    <row r="84" spans="4:11" x14ac:dyDescent="0.25">
      <c r="D84" t="s">
        <v>96</v>
      </c>
      <c r="E84">
        <v>2</v>
      </c>
      <c r="F84">
        <f>RDG!G33</f>
        <v>83</v>
      </c>
      <c r="G84" t="str">
        <f>IF(RDG!H33=0,"",RDG!H33)</f>
        <v/>
      </c>
      <c r="H84" s="22">
        <f t="shared" si="3"/>
        <v>0</v>
      </c>
      <c r="I84" s="22">
        <f t="shared" si="4"/>
        <v>0</v>
      </c>
      <c r="J84" s="22">
        <f>ROUND(RDG!I33,2)</f>
        <v>0</v>
      </c>
      <c r="K84" s="22">
        <f>ROUND(RDG!J33,2)</f>
        <v>0</v>
      </c>
    </row>
    <row r="85" spans="4:11" x14ac:dyDescent="0.25">
      <c r="D85" t="s">
        <v>96</v>
      </c>
      <c r="E85">
        <v>2</v>
      </c>
      <c r="F85">
        <f>RDG!G34</f>
        <v>84</v>
      </c>
      <c r="G85" t="str">
        <f>IF(RDG!H34=0,"",RDG!H34)</f>
        <v/>
      </c>
      <c r="H85" s="22">
        <f t="shared" si="3"/>
        <v>0</v>
      </c>
      <c r="I85" s="22">
        <f t="shared" si="4"/>
        <v>0</v>
      </c>
      <c r="J85" s="22">
        <f>ROUND(RDG!I34,2)</f>
        <v>0</v>
      </c>
      <c r="K85" s="22">
        <f>ROUND(RDG!J34,2)</f>
        <v>0</v>
      </c>
    </row>
    <row r="86" spans="4:11" x14ac:dyDescent="0.25">
      <c r="D86" t="s">
        <v>96</v>
      </c>
      <c r="E86">
        <v>2</v>
      </c>
      <c r="F86">
        <f>RDG!G35</f>
        <v>85</v>
      </c>
      <c r="G86" t="str">
        <f>IF(RDG!H35=0,"",RDG!H35)</f>
        <v/>
      </c>
      <c r="H86" s="22">
        <f t="shared" si="3"/>
        <v>0</v>
      </c>
      <c r="I86" s="22">
        <f t="shared" si="4"/>
        <v>0</v>
      </c>
      <c r="J86" s="22">
        <f>ROUND(RDG!I35,2)</f>
        <v>0</v>
      </c>
      <c r="K86" s="22">
        <f>ROUND(RDG!J35,2)</f>
        <v>0</v>
      </c>
    </row>
    <row r="87" spans="4:11" x14ac:dyDescent="0.25">
      <c r="D87" t="s">
        <v>96</v>
      </c>
      <c r="E87">
        <v>2</v>
      </c>
      <c r="F87">
        <f>RDG!G36</f>
        <v>86</v>
      </c>
      <c r="G87" t="str">
        <f>IF(RDG!H36=0,"",RDG!H36)</f>
        <v/>
      </c>
      <c r="H87" s="22">
        <f t="shared" si="3"/>
        <v>0</v>
      </c>
      <c r="I87" s="22">
        <f t="shared" si="4"/>
        <v>0</v>
      </c>
      <c r="J87" s="22">
        <f>ROUND(RDG!I36,2)</f>
        <v>0</v>
      </c>
      <c r="K87" s="22">
        <f>ROUND(RDG!J36,2)</f>
        <v>0</v>
      </c>
    </row>
    <row r="88" spans="4:11" x14ac:dyDescent="0.25">
      <c r="D88" t="s">
        <v>96</v>
      </c>
      <c r="E88">
        <v>2</v>
      </c>
      <c r="F88">
        <f>RDG!G38</f>
        <v>87</v>
      </c>
      <c r="G88" t="str">
        <f>IF(RDG!H38=0,"",RDG!H38)</f>
        <v/>
      </c>
      <c r="H88" s="22">
        <f t="shared" si="3"/>
        <v>0</v>
      </c>
      <c r="I88" s="22">
        <f t="shared" si="4"/>
        <v>0</v>
      </c>
      <c r="J88" s="22">
        <f>ROUND(RDG!I38,2)</f>
        <v>0</v>
      </c>
      <c r="K88" s="22">
        <f>ROUND(RDG!J38,2)</f>
        <v>0</v>
      </c>
    </row>
    <row r="89" spans="4:11" x14ac:dyDescent="0.25">
      <c r="D89" t="s">
        <v>96</v>
      </c>
      <c r="E89">
        <v>2</v>
      </c>
      <c r="F89">
        <f>RDG!G39</f>
        <v>88</v>
      </c>
      <c r="G89" t="str">
        <f>IF(RDG!H39=0,"",RDG!H39)</f>
        <v/>
      </c>
      <c r="H89" s="22">
        <f t="shared" si="3"/>
        <v>0</v>
      </c>
      <c r="I89" s="22">
        <f t="shared" si="4"/>
        <v>0</v>
      </c>
      <c r="J89" s="22">
        <f>ROUND(RDG!I39,2)</f>
        <v>0</v>
      </c>
      <c r="K89" s="22">
        <f>ROUND(RDG!J39,2)</f>
        <v>0</v>
      </c>
    </row>
    <row r="90" spans="4:11" x14ac:dyDescent="0.25">
      <c r="D90" t="s">
        <v>96</v>
      </c>
      <c r="E90">
        <v>2</v>
      </c>
      <c r="F90">
        <f>RDG!G40</f>
        <v>89</v>
      </c>
      <c r="G90" t="str">
        <f>IF(RDG!H40=0,"",RDG!H40)</f>
        <v/>
      </c>
      <c r="H90" s="22">
        <f t="shared" si="3"/>
        <v>0</v>
      </c>
      <c r="I90" s="22">
        <f t="shared" si="4"/>
        <v>0</v>
      </c>
      <c r="J90" s="22">
        <f>ROUND(RDG!I40,2)</f>
        <v>0</v>
      </c>
      <c r="K90" s="22">
        <f>ROUND(RDG!J40,2)</f>
        <v>0</v>
      </c>
    </row>
    <row r="91" spans="4:11" x14ac:dyDescent="0.25">
      <c r="D91" t="s">
        <v>96</v>
      </c>
      <c r="E91">
        <v>2</v>
      </c>
      <c r="F91">
        <f>RDG!G41</f>
        <v>90</v>
      </c>
      <c r="G91" t="str">
        <f>IF(RDG!H41=0,"",RDG!H41)</f>
        <v/>
      </c>
      <c r="H91" s="22">
        <f t="shared" si="3"/>
        <v>0</v>
      </c>
      <c r="I91" s="22">
        <f t="shared" si="4"/>
        <v>0</v>
      </c>
      <c r="J91" s="22">
        <f>ROUND(RDG!I41,2)</f>
        <v>0</v>
      </c>
      <c r="K91" s="22">
        <f>ROUND(RDG!J41,2)</f>
        <v>0</v>
      </c>
    </row>
    <row r="92" spans="4:11" x14ac:dyDescent="0.25">
      <c r="D92" t="s">
        <v>96</v>
      </c>
      <c r="E92">
        <v>2</v>
      </c>
      <c r="F92">
        <f>RDG!G42</f>
        <v>91</v>
      </c>
      <c r="G92" t="str">
        <f>IF(RDG!H42=0,"",RDG!H42)</f>
        <v/>
      </c>
      <c r="H92" s="22">
        <f t="shared" si="3"/>
        <v>0</v>
      </c>
      <c r="I92" s="22">
        <f t="shared" si="4"/>
        <v>0</v>
      </c>
      <c r="J92" s="22">
        <f>ROUND(RDG!I42,2)</f>
        <v>0</v>
      </c>
      <c r="K92" s="22">
        <f>ROUND(RDG!J42,2)</f>
        <v>0</v>
      </c>
    </row>
    <row r="93" spans="4:11" x14ac:dyDescent="0.25">
      <c r="D93" t="s">
        <v>96</v>
      </c>
      <c r="E93">
        <v>2</v>
      </c>
      <c r="F93">
        <f>RDG!G43</f>
        <v>92</v>
      </c>
      <c r="G93" t="str">
        <f>IF(RDG!H43=0,"",RDG!H43)</f>
        <v/>
      </c>
      <c r="H93" s="22">
        <f t="shared" si="3"/>
        <v>0</v>
      </c>
      <c r="I93" s="22">
        <f t="shared" si="4"/>
        <v>0</v>
      </c>
      <c r="J93" s="22">
        <f>ROUND(RDG!I43,2)</f>
        <v>0</v>
      </c>
      <c r="K93" s="22">
        <f>ROUND(RDG!J43,2)</f>
        <v>0</v>
      </c>
    </row>
    <row r="94" spans="4:11" x14ac:dyDescent="0.25">
      <c r="D94" t="s">
        <v>96</v>
      </c>
      <c r="E94">
        <v>2</v>
      </c>
      <c r="F94">
        <f>RDG!G44</f>
        <v>93</v>
      </c>
      <c r="G94" t="str">
        <f>IF(RDG!H44=0,"",RDG!H44)</f>
        <v/>
      </c>
      <c r="H94" s="22">
        <f t="shared" si="3"/>
        <v>0</v>
      </c>
      <c r="I94" s="22">
        <f t="shared" si="4"/>
        <v>0</v>
      </c>
      <c r="J94" s="22">
        <f>ROUND(RDG!I44,2)</f>
        <v>0</v>
      </c>
      <c r="K94" s="22">
        <f>ROUND(RDG!J44,2)</f>
        <v>0</v>
      </c>
    </row>
    <row r="95" spans="4:11" x14ac:dyDescent="0.25">
      <c r="D95" t="s">
        <v>96</v>
      </c>
      <c r="E95">
        <v>2</v>
      </c>
      <c r="F95">
        <f>RDG!G45</f>
        <v>94</v>
      </c>
      <c r="G95" t="str">
        <f>IF(RDG!H45=0,"",RDG!H45)</f>
        <v/>
      </c>
      <c r="H95" s="22">
        <f t="shared" si="3"/>
        <v>0</v>
      </c>
      <c r="I95" s="22">
        <f t="shared" si="4"/>
        <v>0</v>
      </c>
      <c r="J95" s="22">
        <f>ROUND(RDG!I45,2)</f>
        <v>0</v>
      </c>
      <c r="K95" s="22">
        <f>ROUND(RDG!J45,2)</f>
        <v>0</v>
      </c>
    </row>
    <row r="96" spans="4:11" x14ac:dyDescent="0.25">
      <c r="D96" t="s">
        <v>96</v>
      </c>
      <c r="E96">
        <v>2</v>
      </c>
      <c r="F96">
        <f>RDG!G46</f>
        <v>95</v>
      </c>
      <c r="G96" t="str">
        <f>IF(RDG!H46=0,"",RDG!H46)</f>
        <v/>
      </c>
      <c r="H96" s="22">
        <f t="shared" si="3"/>
        <v>0</v>
      </c>
      <c r="I96" s="22">
        <f t="shared" si="4"/>
        <v>0</v>
      </c>
      <c r="J96" s="22">
        <f>ROUND(RDG!I46,2)</f>
        <v>0</v>
      </c>
      <c r="K96" s="22">
        <f>ROUND(RDG!J46,2)</f>
        <v>0</v>
      </c>
    </row>
    <row r="97" spans="4:11" x14ac:dyDescent="0.25">
      <c r="D97" t="s">
        <v>96</v>
      </c>
      <c r="E97">
        <v>2</v>
      </c>
      <c r="F97">
        <f>RDG!G47</f>
        <v>96</v>
      </c>
      <c r="G97" t="str">
        <f>IF(RDG!H47=0,"",RDG!H47)</f>
        <v/>
      </c>
      <c r="H97" s="22">
        <f t="shared" si="3"/>
        <v>0</v>
      </c>
      <c r="I97" s="22">
        <f t="shared" si="4"/>
        <v>0</v>
      </c>
      <c r="J97" s="22">
        <f>ROUND(RDG!I47,2)</f>
        <v>0</v>
      </c>
      <c r="K97" s="22">
        <f>ROUND(RDG!J47,2)</f>
        <v>0</v>
      </c>
    </row>
    <row r="98" spans="4:11" x14ac:dyDescent="0.25">
      <c r="D98" t="s">
        <v>96</v>
      </c>
      <c r="E98">
        <v>2</v>
      </c>
      <c r="F98">
        <f>RDG!G48</f>
        <v>97</v>
      </c>
      <c r="G98" t="str">
        <f>IF(RDG!H48=0,"",RDG!H48)</f>
        <v/>
      </c>
      <c r="H98" s="22">
        <f t="shared" si="3"/>
        <v>0</v>
      </c>
      <c r="I98" s="22">
        <f t="shared" ref="I98:I129" si="5">ABS(ROUND(J98,2)-J98)+ABS(ROUND(K98,2)-K98)</f>
        <v>0</v>
      </c>
      <c r="J98" s="22">
        <f>ROUND(RDG!I48,2)</f>
        <v>0</v>
      </c>
      <c r="K98" s="22">
        <f>ROUND(RDG!J48,2)</f>
        <v>0</v>
      </c>
    </row>
    <row r="99" spans="4:11" x14ac:dyDescent="0.25">
      <c r="D99" t="s">
        <v>96</v>
      </c>
      <c r="E99">
        <v>2</v>
      </c>
      <c r="F99">
        <f>RDG!G49</f>
        <v>98</v>
      </c>
      <c r="G99" t="str">
        <f>IF(RDG!H49=0,"",RDG!H49)</f>
        <v/>
      </c>
      <c r="H99" s="22">
        <f t="shared" si="3"/>
        <v>0</v>
      </c>
      <c r="I99" s="22">
        <f t="shared" si="5"/>
        <v>0</v>
      </c>
      <c r="J99" s="22">
        <f>ROUND(RDG!I49,2)</f>
        <v>0</v>
      </c>
      <c r="K99" s="22">
        <f>ROUND(RDG!J49,2)</f>
        <v>0</v>
      </c>
    </row>
    <row r="100" spans="4:11" x14ac:dyDescent="0.25">
      <c r="D100" t="s">
        <v>96</v>
      </c>
      <c r="E100">
        <v>2</v>
      </c>
      <c r="F100">
        <f>RDG!G50</f>
        <v>99</v>
      </c>
      <c r="G100" t="str">
        <f>IF(RDG!H50=0,"",RDG!H50)</f>
        <v/>
      </c>
      <c r="H100" s="22">
        <f t="shared" si="3"/>
        <v>0</v>
      </c>
      <c r="I100" s="22">
        <f t="shared" si="5"/>
        <v>0</v>
      </c>
      <c r="J100" s="22">
        <f>ROUND(RDG!I50,2)</f>
        <v>0</v>
      </c>
      <c r="K100" s="22">
        <f>ROUND(RDG!J50,2)</f>
        <v>0</v>
      </c>
    </row>
    <row r="101" spans="4:11" x14ac:dyDescent="0.25">
      <c r="D101" t="s">
        <v>96</v>
      </c>
      <c r="E101">
        <v>2</v>
      </c>
      <c r="F101">
        <f>RDG!G51</f>
        <v>100</v>
      </c>
      <c r="G101" t="str">
        <f>IF(RDG!H51=0,"",RDG!H51)</f>
        <v/>
      </c>
      <c r="H101" s="22">
        <f t="shared" si="3"/>
        <v>0</v>
      </c>
      <c r="I101" s="22">
        <f t="shared" si="5"/>
        <v>0</v>
      </c>
      <c r="J101" s="22">
        <f>ROUND(RDG!I51,2)</f>
        <v>0</v>
      </c>
      <c r="K101" s="22">
        <f>ROUND(RDG!J51,2)</f>
        <v>0</v>
      </c>
    </row>
    <row r="102" spans="4:11" x14ac:dyDescent="0.25">
      <c r="D102" t="s">
        <v>96</v>
      </c>
      <c r="E102">
        <v>2</v>
      </c>
      <c r="F102">
        <f>RDG!G52</f>
        <v>101</v>
      </c>
      <c r="G102" t="str">
        <f>IF(RDG!H52=0,"",RDG!H52)</f>
        <v/>
      </c>
      <c r="H102" s="22">
        <f t="shared" si="3"/>
        <v>0</v>
      </c>
      <c r="I102" s="22">
        <f t="shared" si="5"/>
        <v>0</v>
      </c>
      <c r="J102" s="22">
        <f>ROUND(RDG!I52,2)</f>
        <v>0</v>
      </c>
      <c r="K102" s="22">
        <f>ROUND(RDG!J52,2)</f>
        <v>0</v>
      </c>
    </row>
    <row r="103" spans="4:11" x14ac:dyDescent="0.25">
      <c r="D103" t="s">
        <v>96</v>
      </c>
      <c r="E103">
        <v>2</v>
      </c>
      <c r="F103">
        <f>RDG!G53</f>
        <v>102</v>
      </c>
      <c r="G103" t="str">
        <f>IF(RDG!H53=0,"",RDG!H53)</f>
        <v/>
      </c>
      <c r="H103" s="22">
        <f t="shared" si="3"/>
        <v>0</v>
      </c>
      <c r="I103" s="22">
        <f t="shared" si="5"/>
        <v>0</v>
      </c>
      <c r="J103" s="22">
        <f>ROUND(RDG!I53,2)</f>
        <v>0</v>
      </c>
      <c r="K103" s="22">
        <f>ROUND(RDG!J53,2)</f>
        <v>0</v>
      </c>
    </row>
    <row r="104" spans="4:11" x14ac:dyDescent="0.25">
      <c r="D104" t="s">
        <v>96</v>
      </c>
      <c r="E104">
        <v>2</v>
      </c>
      <c r="F104">
        <f>RDG!G54</f>
        <v>103</v>
      </c>
      <c r="G104" t="str">
        <f>IF(RDG!H54=0,"",RDG!H54)</f>
        <v/>
      </c>
      <c r="H104" s="22">
        <f t="shared" si="3"/>
        <v>0</v>
      </c>
      <c r="I104" s="22">
        <f t="shared" si="5"/>
        <v>0</v>
      </c>
      <c r="J104" s="22">
        <f>ROUND(RDG!I54,2)</f>
        <v>0</v>
      </c>
      <c r="K104" s="22">
        <f>ROUND(RDG!J54,2)</f>
        <v>0</v>
      </c>
    </row>
    <row r="105" spans="4:11" x14ac:dyDescent="0.25">
      <c r="D105" t="s">
        <v>96</v>
      </c>
      <c r="E105">
        <v>2</v>
      </c>
      <c r="F105">
        <f>RDG!G55</f>
        <v>104</v>
      </c>
      <c r="G105" t="str">
        <f>IF(RDG!H55=0,"",RDG!H55)</f>
        <v/>
      </c>
      <c r="H105" s="22">
        <f t="shared" si="3"/>
        <v>0</v>
      </c>
      <c r="I105" s="22">
        <f t="shared" si="5"/>
        <v>0</v>
      </c>
      <c r="J105" s="22">
        <f>ROUND(RDG!I55,2)</f>
        <v>0</v>
      </c>
      <c r="K105" s="22">
        <f>ROUND(RDG!J55,2)</f>
        <v>0</v>
      </c>
    </row>
    <row r="106" spans="4:11" x14ac:dyDescent="0.25">
      <c r="D106" t="s">
        <v>96</v>
      </c>
      <c r="E106">
        <v>2</v>
      </c>
      <c r="F106">
        <f>RDG!G56</f>
        <v>105</v>
      </c>
      <c r="G106" t="str">
        <f>IF(RDG!H56=0,"",RDG!H56)</f>
        <v/>
      </c>
      <c r="H106" s="22">
        <f t="shared" si="3"/>
        <v>0</v>
      </c>
      <c r="I106" s="22">
        <f t="shared" si="5"/>
        <v>0</v>
      </c>
      <c r="J106" s="22">
        <f>ROUND(RDG!I56,2)</f>
        <v>0</v>
      </c>
      <c r="K106" s="22">
        <f>ROUND(RDG!J56,2)</f>
        <v>0</v>
      </c>
    </row>
    <row r="107" spans="4:11" x14ac:dyDescent="0.25">
      <c r="D107" t="s">
        <v>96</v>
      </c>
      <c r="E107">
        <v>2</v>
      </c>
      <c r="F107">
        <f>RDG!G58</f>
        <v>106</v>
      </c>
      <c r="G107" t="str">
        <f>IF(RDG!H58=0,"",RDG!H58)</f>
        <v/>
      </c>
      <c r="H107" s="22">
        <f t="shared" si="3"/>
        <v>0</v>
      </c>
      <c r="I107" s="22">
        <f t="shared" si="5"/>
        <v>0</v>
      </c>
      <c r="J107" s="22">
        <f>ROUND(RDG!I58,2)</f>
        <v>0</v>
      </c>
      <c r="K107" s="22">
        <f>ROUND(RDG!J58,2)</f>
        <v>0</v>
      </c>
    </row>
    <row r="108" spans="4:11" x14ac:dyDescent="0.25">
      <c r="D108" t="s">
        <v>96</v>
      </c>
      <c r="E108">
        <v>2</v>
      </c>
      <c r="F108">
        <f>RDG!G59</f>
        <v>107</v>
      </c>
      <c r="G108" t="str">
        <f>IF(RDG!H59=0,"",RDG!H59)</f>
        <v/>
      </c>
      <c r="H108" s="22">
        <f t="shared" si="3"/>
        <v>0</v>
      </c>
      <c r="I108" s="22">
        <f t="shared" si="5"/>
        <v>0</v>
      </c>
      <c r="J108" s="22">
        <f>ROUND(RDG!I59,2)</f>
        <v>0</v>
      </c>
      <c r="K108" s="22">
        <f>ROUND(RDG!J59,2)</f>
        <v>0</v>
      </c>
    </row>
    <row r="109" spans="4:11" x14ac:dyDescent="0.25">
      <c r="D109" t="s">
        <v>110</v>
      </c>
      <c r="E109">
        <v>3</v>
      </c>
      <c r="F109">
        <f>Dodatni!H9</f>
        <v>108</v>
      </c>
      <c r="H109" s="22">
        <f t="shared" ref="H109:H118" si="6">J109/100*F109+2*K109/100*F109</f>
        <v>0</v>
      </c>
      <c r="I109" s="22">
        <f t="shared" si="5"/>
        <v>0</v>
      </c>
      <c r="J109" s="22">
        <f>ROUND(Dodatni!I9,2)</f>
        <v>0</v>
      </c>
      <c r="K109" s="22">
        <f>ROUND(Dodatni!J9,2)</f>
        <v>0</v>
      </c>
    </row>
    <row r="110" spans="4:11" x14ac:dyDescent="0.25">
      <c r="D110" t="s">
        <v>110</v>
      </c>
      <c r="E110">
        <v>3</v>
      </c>
      <c r="F110">
        <f>Dodatni!H10</f>
        <v>109</v>
      </c>
      <c r="H110" s="22">
        <f t="shared" si="6"/>
        <v>0</v>
      </c>
      <c r="I110" s="22">
        <f t="shared" si="5"/>
        <v>0</v>
      </c>
      <c r="J110" s="22">
        <f>ROUND(Dodatni!I10,2)</f>
        <v>0</v>
      </c>
      <c r="K110" s="22">
        <f>ROUND(Dodatni!J10,2)</f>
        <v>0</v>
      </c>
    </row>
    <row r="111" spans="4:11" x14ac:dyDescent="0.25">
      <c r="D111" t="s">
        <v>110</v>
      </c>
      <c r="E111">
        <v>3</v>
      </c>
      <c r="F111">
        <f>Dodatni!H11</f>
        <v>110</v>
      </c>
      <c r="H111" s="22">
        <f t="shared" si="6"/>
        <v>0</v>
      </c>
      <c r="I111" s="22">
        <f t="shared" si="5"/>
        <v>0</v>
      </c>
      <c r="J111" s="22">
        <f>ROUND(Dodatni!I11,2)</f>
        <v>0</v>
      </c>
      <c r="K111" s="22">
        <f>ROUND(Dodatni!J11,2)</f>
        <v>0</v>
      </c>
    </row>
    <row r="112" spans="4:11" x14ac:dyDescent="0.25">
      <c r="D112" t="s">
        <v>110</v>
      </c>
      <c r="E112">
        <v>3</v>
      </c>
      <c r="F112">
        <f>Dodatni!H12</f>
        <v>111</v>
      </c>
      <c r="H112" s="22">
        <f t="shared" si="6"/>
        <v>0</v>
      </c>
      <c r="I112" s="22">
        <f t="shared" si="5"/>
        <v>0</v>
      </c>
      <c r="J112" s="22">
        <f>ROUND(Dodatni!I12,2)</f>
        <v>0</v>
      </c>
      <c r="K112" s="22">
        <f>ROUND(Dodatni!J12,2)</f>
        <v>0</v>
      </c>
    </row>
    <row r="113" spans="4:11" x14ac:dyDescent="0.25">
      <c r="D113" t="s">
        <v>110</v>
      </c>
      <c r="E113">
        <v>3</v>
      </c>
      <c r="F113">
        <f>Dodatni!H13</f>
        <v>112</v>
      </c>
      <c r="H113" s="22">
        <f t="shared" si="6"/>
        <v>0</v>
      </c>
      <c r="I113" s="22">
        <f t="shared" si="5"/>
        <v>0</v>
      </c>
      <c r="J113" s="22">
        <f>ROUND(Dodatni!I13,2)</f>
        <v>0</v>
      </c>
      <c r="K113" s="22">
        <f>ROUND(Dodatni!J13,2)</f>
        <v>0</v>
      </c>
    </row>
    <row r="114" spans="4:11" x14ac:dyDescent="0.25">
      <c r="D114" t="s">
        <v>110</v>
      </c>
      <c r="E114">
        <v>3</v>
      </c>
      <c r="F114">
        <f>Dodatni!H14</f>
        <v>113</v>
      </c>
      <c r="H114" s="22">
        <f t="shared" si="6"/>
        <v>0</v>
      </c>
      <c r="I114" s="22">
        <f t="shared" si="5"/>
        <v>0</v>
      </c>
      <c r="J114" s="22">
        <f>ROUND(Dodatni!I14,2)</f>
        <v>0</v>
      </c>
      <c r="K114" s="22">
        <f>ROUND(Dodatni!J14,2)</f>
        <v>0</v>
      </c>
    </row>
    <row r="115" spans="4:11" x14ac:dyDescent="0.25">
      <c r="D115" t="s">
        <v>110</v>
      </c>
      <c r="E115">
        <v>3</v>
      </c>
      <c r="F115">
        <f>Dodatni!H15</f>
        <v>114</v>
      </c>
      <c r="H115" s="22">
        <f t="shared" si="6"/>
        <v>0</v>
      </c>
      <c r="I115" s="22">
        <f t="shared" si="5"/>
        <v>0</v>
      </c>
      <c r="J115" s="22">
        <f>ROUND(Dodatni!I15,2)</f>
        <v>0</v>
      </c>
      <c r="K115" s="22">
        <f>ROUND(Dodatni!J15,2)</f>
        <v>0</v>
      </c>
    </row>
    <row r="116" spans="4:11" x14ac:dyDescent="0.25">
      <c r="D116" t="s">
        <v>111</v>
      </c>
      <c r="E116">
        <v>4</v>
      </c>
      <c r="F116">
        <f>NT_I!G9</f>
        <v>1</v>
      </c>
      <c r="G116" t="str">
        <f>IF(NT_I!H9&lt;&gt;"",NT_I!H9,"")</f>
        <v/>
      </c>
      <c r="H116" s="22">
        <f>J116/100*F116+2*K116/100*F116</f>
        <v>0</v>
      </c>
      <c r="I116" s="22">
        <f t="shared" si="5"/>
        <v>0</v>
      </c>
      <c r="J116" s="22">
        <f>ROUND(NT_I!I9,2)</f>
        <v>0</v>
      </c>
      <c r="K116" s="22">
        <f>ROUND(NT_I!J9,2)</f>
        <v>0</v>
      </c>
    </row>
    <row r="117" spans="4:11" x14ac:dyDescent="0.25">
      <c r="D117" t="s">
        <v>111</v>
      </c>
      <c r="E117">
        <v>4</v>
      </c>
      <c r="F117">
        <f>NT_I!G10</f>
        <v>2</v>
      </c>
      <c r="G117" t="str">
        <f>IF(NT_I!H10&lt;&gt;"",NT_I!H10,"")</f>
        <v/>
      </c>
      <c r="H117" s="22">
        <f t="shared" si="6"/>
        <v>0</v>
      </c>
      <c r="I117" s="22">
        <f t="shared" si="5"/>
        <v>0</v>
      </c>
      <c r="J117" s="22">
        <f>ROUND(NT_I!I10,2)</f>
        <v>0</v>
      </c>
      <c r="K117" s="22">
        <f>ROUND(NT_I!J10,2)</f>
        <v>0</v>
      </c>
    </row>
    <row r="118" spans="4:11" x14ac:dyDescent="0.25">
      <c r="D118" t="s">
        <v>111</v>
      </c>
      <c r="E118">
        <v>4</v>
      </c>
      <c r="F118">
        <f>NT_I!G11</f>
        <v>3</v>
      </c>
      <c r="G118" t="str">
        <f>IF(NT_I!H11&lt;&gt;"",NT_I!H11,"")</f>
        <v/>
      </c>
      <c r="H118" s="22">
        <f t="shared" si="6"/>
        <v>0</v>
      </c>
      <c r="I118" s="22">
        <f t="shared" si="5"/>
        <v>0</v>
      </c>
      <c r="J118" s="22">
        <f>ROUND(NT_I!I11,2)</f>
        <v>0</v>
      </c>
      <c r="K118" s="22">
        <f>ROUND(NT_I!J11,2)</f>
        <v>0</v>
      </c>
    </row>
    <row r="119" spans="4:11" x14ac:dyDescent="0.25">
      <c r="D119" t="s">
        <v>111</v>
      </c>
      <c r="E119">
        <v>4</v>
      </c>
      <c r="F119">
        <f>NT_I!G12</f>
        <v>4</v>
      </c>
      <c r="G119" t="str">
        <f>IF(NT_I!H12&lt;&gt;"",NT_I!H12,"")</f>
        <v/>
      </c>
      <c r="H119" s="22">
        <f t="shared" ref="H119:H148" si="7">J119/100*F119+2*K119/100*F119</f>
        <v>0</v>
      </c>
      <c r="I119" s="22">
        <f t="shared" si="5"/>
        <v>0</v>
      </c>
      <c r="J119" s="22">
        <f>ROUND(NT_I!I12,2)</f>
        <v>0</v>
      </c>
      <c r="K119" s="22">
        <f>ROUND(NT_I!J12,2)</f>
        <v>0</v>
      </c>
    </row>
    <row r="120" spans="4:11" x14ac:dyDescent="0.25">
      <c r="D120" t="s">
        <v>111</v>
      </c>
      <c r="E120">
        <v>4</v>
      </c>
      <c r="F120">
        <f>NT_I!G13</f>
        <v>5</v>
      </c>
      <c r="G120" t="str">
        <f>IF(NT_I!H13&lt;&gt;"",NT_I!H13,"")</f>
        <v/>
      </c>
      <c r="H120" s="22">
        <f t="shared" si="7"/>
        <v>0</v>
      </c>
      <c r="I120" s="22">
        <f t="shared" si="5"/>
        <v>0</v>
      </c>
      <c r="J120" s="22">
        <f>ROUND(NT_I!I13,2)</f>
        <v>0</v>
      </c>
      <c r="K120" s="22">
        <f>ROUND(NT_I!J13,2)</f>
        <v>0</v>
      </c>
    </row>
    <row r="121" spans="4:11" x14ac:dyDescent="0.25">
      <c r="D121" t="s">
        <v>111</v>
      </c>
      <c r="E121">
        <v>4</v>
      </c>
      <c r="F121">
        <f>NT_I!G14</f>
        <v>6</v>
      </c>
      <c r="G121" t="str">
        <f>IF(NT_I!H14&lt;&gt;"",NT_I!H14,"")</f>
        <v/>
      </c>
      <c r="H121" s="22">
        <f t="shared" si="7"/>
        <v>0</v>
      </c>
      <c r="I121" s="22">
        <f t="shared" si="5"/>
        <v>0</v>
      </c>
      <c r="J121" s="22">
        <f>ROUND(NT_I!I14,2)</f>
        <v>0</v>
      </c>
      <c r="K121" s="22">
        <f>ROUND(NT_I!J14,2)</f>
        <v>0</v>
      </c>
    </row>
    <row r="122" spans="4:11" x14ac:dyDescent="0.25">
      <c r="D122" t="s">
        <v>111</v>
      </c>
      <c r="E122">
        <v>4</v>
      </c>
      <c r="F122">
        <f>NT_I!G15</f>
        <v>7</v>
      </c>
      <c r="G122" t="str">
        <f>IF(NT_I!H15&lt;&gt;"",NT_I!H15,"")</f>
        <v/>
      </c>
      <c r="H122" s="22">
        <f t="shared" si="7"/>
        <v>0</v>
      </c>
      <c r="I122" s="22">
        <f t="shared" si="5"/>
        <v>0</v>
      </c>
      <c r="J122" s="22">
        <f>ROUND(NT_I!I15,2)</f>
        <v>0</v>
      </c>
      <c r="K122" s="22">
        <f>ROUND(NT_I!J15,2)</f>
        <v>0</v>
      </c>
    </row>
    <row r="123" spans="4:11" x14ac:dyDescent="0.25">
      <c r="D123" t="s">
        <v>111</v>
      </c>
      <c r="E123">
        <v>4</v>
      </c>
      <c r="F123">
        <f>NT_I!G16</f>
        <v>8</v>
      </c>
      <c r="G123" t="str">
        <f>IF(NT_I!H16&lt;&gt;"",NT_I!H16,"")</f>
        <v/>
      </c>
      <c r="H123" s="22">
        <f t="shared" si="7"/>
        <v>0</v>
      </c>
      <c r="I123" s="22">
        <f t="shared" si="5"/>
        <v>0</v>
      </c>
      <c r="J123" s="22">
        <f>ROUND(NT_I!I16,2)</f>
        <v>0</v>
      </c>
      <c r="K123" s="22">
        <f>ROUND(NT_I!J16,2)</f>
        <v>0</v>
      </c>
    </row>
    <row r="124" spans="4:11" x14ac:dyDescent="0.25">
      <c r="D124" t="s">
        <v>111</v>
      </c>
      <c r="E124">
        <v>4</v>
      </c>
      <c r="F124">
        <f>NT_I!G17</f>
        <v>9</v>
      </c>
      <c r="G124" t="str">
        <f>IF(NT_I!H17&lt;&gt;"",NT_I!H17,"")</f>
        <v/>
      </c>
      <c r="H124" s="22">
        <f t="shared" si="7"/>
        <v>0</v>
      </c>
      <c r="I124" s="22">
        <f t="shared" si="5"/>
        <v>0</v>
      </c>
      <c r="J124" s="22">
        <f>ROUND(NT_I!I17,2)</f>
        <v>0</v>
      </c>
      <c r="K124" s="22">
        <f>ROUND(NT_I!J17,2)</f>
        <v>0</v>
      </c>
    </row>
    <row r="125" spans="4:11" x14ac:dyDescent="0.25">
      <c r="D125" t="s">
        <v>111</v>
      </c>
      <c r="E125">
        <v>4</v>
      </c>
      <c r="F125">
        <f>NT_I!G18</f>
        <v>10</v>
      </c>
      <c r="G125" t="str">
        <f>IF(NT_I!H18&lt;&gt;"",NT_I!H18,"")</f>
        <v/>
      </c>
      <c r="H125" s="22">
        <f t="shared" si="7"/>
        <v>0</v>
      </c>
      <c r="I125" s="22">
        <f t="shared" si="5"/>
        <v>0</v>
      </c>
      <c r="J125" s="22">
        <f>ROUND(NT_I!I18,2)</f>
        <v>0</v>
      </c>
      <c r="K125" s="22">
        <f>ROUND(NT_I!J18,2)</f>
        <v>0</v>
      </c>
    </row>
    <row r="126" spans="4:11" x14ac:dyDescent="0.25">
      <c r="D126" t="s">
        <v>111</v>
      </c>
      <c r="E126">
        <v>4</v>
      </c>
      <c r="F126">
        <f>NT_I!G19</f>
        <v>11</v>
      </c>
      <c r="G126" t="str">
        <f>IF(NT_I!H19&lt;&gt;"",NT_I!H19,"")</f>
        <v/>
      </c>
      <c r="H126" s="22">
        <f t="shared" si="7"/>
        <v>0</v>
      </c>
      <c r="I126" s="22">
        <f t="shared" si="5"/>
        <v>0</v>
      </c>
      <c r="J126" s="22">
        <f>ROUND(NT_I!I19,2)</f>
        <v>0</v>
      </c>
      <c r="K126" s="22">
        <f>ROUND(NT_I!J19,2)</f>
        <v>0</v>
      </c>
    </row>
    <row r="127" spans="4:11" x14ac:dyDescent="0.25">
      <c r="D127" t="s">
        <v>111</v>
      </c>
      <c r="E127">
        <v>4</v>
      </c>
      <c r="F127">
        <f>NT_I!G20</f>
        <v>12</v>
      </c>
      <c r="G127" t="str">
        <f>IF(NT_I!H20&lt;&gt;"",NT_I!H20,"")</f>
        <v/>
      </c>
      <c r="H127" s="22">
        <f t="shared" si="7"/>
        <v>0</v>
      </c>
      <c r="I127" s="22">
        <f t="shared" si="5"/>
        <v>0</v>
      </c>
      <c r="J127" s="22">
        <f>ROUND(NT_I!I20,2)</f>
        <v>0</v>
      </c>
      <c r="K127" s="22">
        <f>ROUND(NT_I!J20,2)</f>
        <v>0</v>
      </c>
    </row>
    <row r="128" spans="4:11" x14ac:dyDescent="0.25">
      <c r="D128" t="s">
        <v>111</v>
      </c>
      <c r="E128">
        <v>4</v>
      </c>
      <c r="F128">
        <f>NT_I!G21</f>
        <v>13</v>
      </c>
      <c r="G128" t="str">
        <f>IF(NT_I!H21&lt;&gt;"",NT_I!H21,"")</f>
        <v/>
      </c>
      <c r="H128" s="22">
        <f t="shared" si="7"/>
        <v>0</v>
      </c>
      <c r="I128" s="22">
        <f t="shared" si="5"/>
        <v>0</v>
      </c>
      <c r="J128" s="22">
        <f>ROUND(NT_I!I21,2)</f>
        <v>0</v>
      </c>
      <c r="K128" s="22">
        <f>ROUND(NT_I!J21,2)</f>
        <v>0</v>
      </c>
    </row>
    <row r="129" spans="4:11" x14ac:dyDescent="0.25">
      <c r="D129" t="s">
        <v>111</v>
      </c>
      <c r="E129">
        <v>4</v>
      </c>
      <c r="F129">
        <f>NT_I!G22</f>
        <v>14</v>
      </c>
      <c r="G129" t="str">
        <f>IF(NT_I!H22&lt;&gt;"",NT_I!H22,"")</f>
        <v/>
      </c>
      <c r="H129" s="22">
        <f t="shared" si="7"/>
        <v>0</v>
      </c>
      <c r="I129" s="22">
        <f t="shared" si="5"/>
        <v>0</v>
      </c>
      <c r="J129" s="22">
        <f>ROUND(NT_I!I22,2)</f>
        <v>0</v>
      </c>
      <c r="K129" s="22">
        <f>ROUND(NT_I!J22,2)</f>
        <v>0</v>
      </c>
    </row>
    <row r="130" spans="4:11" x14ac:dyDescent="0.25">
      <c r="D130" t="s">
        <v>111</v>
      </c>
      <c r="E130">
        <v>4</v>
      </c>
      <c r="F130">
        <f>NT_I!G23</f>
        <v>15</v>
      </c>
      <c r="G130" t="str">
        <f>IF(NT_I!H23&lt;&gt;"",NT_I!H23,"")</f>
        <v/>
      </c>
      <c r="H130" s="22">
        <f t="shared" si="7"/>
        <v>0</v>
      </c>
      <c r="I130" s="22">
        <f t="shared" ref="I130:I161" si="8">ABS(ROUND(J130,2)-J130)+ABS(ROUND(K130,2)-K130)</f>
        <v>0</v>
      </c>
      <c r="J130" s="22">
        <f>ROUND(NT_I!I23,2)</f>
        <v>0</v>
      </c>
      <c r="K130" s="22">
        <f>ROUND(NT_I!J23,2)</f>
        <v>0</v>
      </c>
    </row>
    <row r="131" spans="4:11" x14ac:dyDescent="0.25">
      <c r="D131" t="s">
        <v>111</v>
      </c>
      <c r="E131">
        <v>4</v>
      </c>
      <c r="F131">
        <f>NT_I!G24</f>
        <v>16</v>
      </c>
      <c r="G131" t="str">
        <f>IF(NT_I!H24&lt;&gt;"",NT_I!H24,"")</f>
        <v/>
      </c>
      <c r="H131" s="22">
        <f t="shared" si="7"/>
        <v>0</v>
      </c>
      <c r="I131" s="22">
        <f t="shared" si="8"/>
        <v>0</v>
      </c>
      <c r="J131" s="22">
        <f>ROUND(NT_I!I24,2)</f>
        <v>0</v>
      </c>
      <c r="K131" s="22">
        <f>ROUND(NT_I!J24,2)</f>
        <v>0</v>
      </c>
    </row>
    <row r="132" spans="4:11" x14ac:dyDescent="0.25">
      <c r="D132" t="s">
        <v>111</v>
      </c>
      <c r="E132">
        <v>4</v>
      </c>
      <c r="F132">
        <f>NT_I!G25</f>
        <v>17</v>
      </c>
      <c r="G132" t="str">
        <f>IF(NT_I!H25&lt;&gt;"",NT_I!H25,"")</f>
        <v/>
      </c>
      <c r="H132" s="22">
        <f t="shared" si="7"/>
        <v>0</v>
      </c>
      <c r="I132" s="22">
        <f t="shared" si="8"/>
        <v>0</v>
      </c>
      <c r="J132" s="22">
        <f>ROUND(NT_I!I25,2)</f>
        <v>0</v>
      </c>
      <c r="K132" s="22">
        <f>ROUND(NT_I!J25,2)</f>
        <v>0</v>
      </c>
    </row>
    <row r="133" spans="4:11" x14ac:dyDescent="0.25">
      <c r="D133" t="s">
        <v>111</v>
      </c>
      <c r="E133">
        <v>4</v>
      </c>
      <c r="F133">
        <f>NT_I!G26</f>
        <v>18</v>
      </c>
      <c r="G133" t="str">
        <f>IF(NT_I!H26&lt;&gt;"",NT_I!H26,"")</f>
        <v/>
      </c>
      <c r="H133" s="22">
        <f t="shared" si="7"/>
        <v>0</v>
      </c>
      <c r="I133" s="22">
        <f t="shared" si="8"/>
        <v>0</v>
      </c>
      <c r="J133" s="22">
        <f>ROUND(NT_I!I26,2)</f>
        <v>0</v>
      </c>
      <c r="K133" s="22">
        <f>ROUND(NT_I!J26,2)</f>
        <v>0</v>
      </c>
    </row>
    <row r="134" spans="4:11" x14ac:dyDescent="0.25">
      <c r="D134" t="s">
        <v>111</v>
      </c>
      <c r="E134">
        <v>4</v>
      </c>
      <c r="F134">
        <f>NT_I!G27</f>
        <v>19</v>
      </c>
      <c r="G134" t="str">
        <f>IF(NT_I!H27&lt;&gt;"",NT_I!H27,"")</f>
        <v/>
      </c>
      <c r="H134" s="22">
        <f t="shared" si="7"/>
        <v>0</v>
      </c>
      <c r="I134" s="22">
        <f t="shared" si="8"/>
        <v>0</v>
      </c>
      <c r="J134" s="22">
        <f>ROUND(NT_I!I27,2)</f>
        <v>0</v>
      </c>
      <c r="K134" s="22">
        <f>ROUND(NT_I!J27,2)</f>
        <v>0</v>
      </c>
    </row>
    <row r="135" spans="4:11" x14ac:dyDescent="0.25">
      <c r="D135" t="s">
        <v>111</v>
      </c>
      <c r="E135">
        <v>4</v>
      </c>
      <c r="F135">
        <f>NT_I!G28</f>
        <v>20</v>
      </c>
      <c r="G135" t="str">
        <f>IF(NT_I!H28&lt;&gt;"",NT_I!H28,"")</f>
        <v/>
      </c>
      <c r="H135" s="22">
        <f t="shared" si="7"/>
        <v>0</v>
      </c>
      <c r="I135" s="22">
        <f t="shared" si="8"/>
        <v>0</v>
      </c>
      <c r="J135" s="22">
        <f>ROUND(NT_I!I28,2)</f>
        <v>0</v>
      </c>
      <c r="K135" s="22">
        <f>ROUND(NT_I!J28,2)</f>
        <v>0</v>
      </c>
    </row>
    <row r="136" spans="4:11" x14ac:dyDescent="0.25">
      <c r="D136" t="s">
        <v>111</v>
      </c>
      <c r="E136">
        <v>4</v>
      </c>
      <c r="F136">
        <f>NT_I!G29</f>
        <v>21</v>
      </c>
      <c r="G136" t="str">
        <f>IF(NT_I!H29&lt;&gt;"",NT_I!H29,"")</f>
        <v/>
      </c>
      <c r="H136" s="22">
        <f t="shared" si="7"/>
        <v>0</v>
      </c>
      <c r="I136" s="22">
        <f t="shared" si="8"/>
        <v>0</v>
      </c>
      <c r="J136" s="22">
        <f>ROUND(NT_I!I29,2)</f>
        <v>0</v>
      </c>
      <c r="K136" s="22">
        <f>ROUND(NT_I!J29,2)</f>
        <v>0</v>
      </c>
    </row>
    <row r="137" spans="4:11" x14ac:dyDescent="0.25">
      <c r="D137" t="s">
        <v>111</v>
      </c>
      <c r="E137">
        <v>4</v>
      </c>
      <c r="F137">
        <f>NT_I!G30</f>
        <v>22</v>
      </c>
      <c r="G137" t="str">
        <f>IF(NT_I!H30&lt;&gt;"",NT_I!H30,"")</f>
        <v/>
      </c>
      <c r="H137" s="22">
        <f t="shared" si="7"/>
        <v>0</v>
      </c>
      <c r="I137" s="22">
        <f t="shared" si="8"/>
        <v>0</v>
      </c>
      <c r="J137" s="22">
        <f>ROUND(NT_I!I30,2)</f>
        <v>0</v>
      </c>
      <c r="K137" s="22">
        <f>ROUND(NT_I!J30,2)</f>
        <v>0</v>
      </c>
    </row>
    <row r="138" spans="4:11" x14ac:dyDescent="0.25">
      <c r="D138" t="s">
        <v>111</v>
      </c>
      <c r="E138">
        <v>4</v>
      </c>
      <c r="F138">
        <f>NT_I!G31</f>
        <v>23</v>
      </c>
      <c r="G138" t="str">
        <f>IF(NT_I!H31&lt;&gt;"",NT_I!H31,"")</f>
        <v/>
      </c>
      <c r="H138" s="22">
        <f t="shared" si="7"/>
        <v>0</v>
      </c>
      <c r="I138" s="22">
        <f t="shared" si="8"/>
        <v>0</v>
      </c>
      <c r="J138" s="22">
        <f>ROUND(NT_I!I31,2)</f>
        <v>0</v>
      </c>
      <c r="K138" s="22">
        <f>ROUND(NT_I!J31,2)</f>
        <v>0</v>
      </c>
    </row>
    <row r="139" spans="4:11" x14ac:dyDescent="0.25">
      <c r="D139" t="s">
        <v>111</v>
      </c>
      <c r="E139">
        <v>4</v>
      </c>
      <c r="F139">
        <f>NT_I!G32</f>
        <v>24</v>
      </c>
      <c r="G139" t="str">
        <f>IF(NT_I!H32&lt;&gt;"",NT_I!H32,"")</f>
        <v/>
      </c>
      <c r="H139" s="22">
        <f t="shared" si="7"/>
        <v>0</v>
      </c>
      <c r="I139" s="22">
        <f t="shared" si="8"/>
        <v>0</v>
      </c>
      <c r="J139" s="22">
        <f>ROUND(NT_I!I32,2)</f>
        <v>0</v>
      </c>
      <c r="K139" s="22">
        <f>ROUND(NT_I!J32,2)</f>
        <v>0</v>
      </c>
    </row>
    <row r="140" spans="4:11" x14ac:dyDescent="0.25">
      <c r="D140" t="s">
        <v>111</v>
      </c>
      <c r="E140">
        <v>4</v>
      </c>
      <c r="F140">
        <f>NT_I!G33</f>
        <v>25</v>
      </c>
      <c r="G140" t="str">
        <f>IF(NT_I!H33&lt;&gt;"",NT_I!H33,"")</f>
        <v/>
      </c>
      <c r="H140" s="22">
        <f t="shared" si="7"/>
        <v>0</v>
      </c>
      <c r="I140" s="22">
        <f t="shared" si="8"/>
        <v>0</v>
      </c>
      <c r="J140" s="22">
        <f>ROUND(NT_I!I33,2)</f>
        <v>0</v>
      </c>
      <c r="K140" s="22">
        <f>ROUND(NT_I!J33,2)</f>
        <v>0</v>
      </c>
    </row>
    <row r="141" spans="4:11" x14ac:dyDescent="0.25">
      <c r="D141" t="s">
        <v>111</v>
      </c>
      <c r="E141">
        <v>4</v>
      </c>
      <c r="F141">
        <f>NT_I!G34</f>
        <v>26</v>
      </c>
      <c r="G141" t="str">
        <f>IF(NT_I!H34&lt;&gt;"",NT_I!H34,"")</f>
        <v/>
      </c>
      <c r="H141" s="22">
        <f t="shared" si="7"/>
        <v>0</v>
      </c>
      <c r="I141" s="22">
        <f t="shared" si="8"/>
        <v>0</v>
      </c>
      <c r="J141" s="22">
        <f>ROUND(NT_I!I34,2)</f>
        <v>0</v>
      </c>
      <c r="K141" s="22">
        <f>ROUND(NT_I!J34,2)</f>
        <v>0</v>
      </c>
    </row>
    <row r="142" spans="4:11" x14ac:dyDescent="0.25">
      <c r="D142" t="s">
        <v>111</v>
      </c>
      <c r="E142">
        <v>4</v>
      </c>
      <c r="F142">
        <f>NT_I!G35</f>
        <v>27</v>
      </c>
      <c r="G142" t="str">
        <f>IF(NT_I!H35&lt;&gt;"",NT_I!H35,"")</f>
        <v/>
      </c>
      <c r="H142" s="22">
        <f t="shared" si="7"/>
        <v>0</v>
      </c>
      <c r="I142" s="22">
        <f t="shared" si="8"/>
        <v>0</v>
      </c>
      <c r="J142" s="22">
        <f>ROUND(NT_I!I35,2)</f>
        <v>0</v>
      </c>
      <c r="K142" s="22">
        <f>ROUND(NT_I!J35,2)</f>
        <v>0</v>
      </c>
    </row>
    <row r="143" spans="4:11" x14ac:dyDescent="0.25">
      <c r="D143" t="s">
        <v>111</v>
      </c>
      <c r="E143">
        <v>4</v>
      </c>
      <c r="F143">
        <f>NT_I!G36</f>
        <v>28</v>
      </c>
      <c r="G143" t="str">
        <f>IF(NT_I!H36&lt;&gt;"",NT_I!H36,"")</f>
        <v/>
      </c>
      <c r="H143" s="22">
        <f t="shared" si="7"/>
        <v>0</v>
      </c>
      <c r="I143" s="22">
        <f t="shared" si="8"/>
        <v>0</v>
      </c>
      <c r="J143" s="22">
        <f>ROUND(NT_I!I36,2)</f>
        <v>0</v>
      </c>
      <c r="K143" s="22">
        <f>ROUND(NT_I!J36,2)</f>
        <v>0</v>
      </c>
    </row>
    <row r="144" spans="4:11" x14ac:dyDescent="0.25">
      <c r="D144" t="s">
        <v>111</v>
      </c>
      <c r="E144">
        <v>4</v>
      </c>
      <c r="F144">
        <f>NT_I!G37</f>
        <v>29</v>
      </c>
      <c r="G144" t="str">
        <f>IF(NT_I!H37&lt;&gt;"",NT_I!H37,"")</f>
        <v/>
      </c>
      <c r="H144" s="22">
        <f t="shared" si="7"/>
        <v>0</v>
      </c>
      <c r="I144" s="22">
        <f t="shared" si="8"/>
        <v>0</v>
      </c>
      <c r="J144" s="22">
        <f>ROUND(NT_I!I37,2)</f>
        <v>0</v>
      </c>
      <c r="K144" s="22">
        <f>ROUND(NT_I!J37,2)</f>
        <v>0</v>
      </c>
    </row>
    <row r="145" spans="4:11" x14ac:dyDescent="0.25">
      <c r="D145" t="s">
        <v>111</v>
      </c>
      <c r="E145">
        <v>4</v>
      </c>
      <c r="F145">
        <f>NT_I!G38</f>
        <v>30</v>
      </c>
      <c r="G145" t="str">
        <f>IF(NT_I!H38&lt;&gt;"",NT_I!H38,"")</f>
        <v/>
      </c>
      <c r="H145" s="22">
        <f t="shared" si="7"/>
        <v>0</v>
      </c>
      <c r="I145" s="22">
        <f t="shared" si="8"/>
        <v>0</v>
      </c>
      <c r="J145" s="22">
        <f>ROUND(NT_I!I38,2)</f>
        <v>0</v>
      </c>
      <c r="K145" s="22">
        <f>ROUND(NT_I!J38,2)</f>
        <v>0</v>
      </c>
    </row>
    <row r="146" spans="4:11" x14ac:dyDescent="0.25">
      <c r="D146" t="s">
        <v>111</v>
      </c>
      <c r="E146">
        <v>4</v>
      </c>
      <c r="F146">
        <f>NT_I!G39</f>
        <v>31</v>
      </c>
      <c r="G146" t="str">
        <f>IF(NT_I!H39&lt;&gt;"",NT_I!H39,"")</f>
        <v/>
      </c>
      <c r="H146" s="22">
        <f t="shared" si="7"/>
        <v>0</v>
      </c>
      <c r="I146" s="22">
        <f t="shared" si="8"/>
        <v>0</v>
      </c>
      <c r="J146" s="22">
        <f>ROUND(NT_I!I39,2)</f>
        <v>0</v>
      </c>
      <c r="K146" s="22">
        <f>ROUND(NT_I!J39,2)</f>
        <v>0</v>
      </c>
    </row>
    <row r="147" spans="4:11" x14ac:dyDescent="0.25">
      <c r="D147" t="s">
        <v>111</v>
      </c>
      <c r="E147">
        <v>4</v>
      </c>
      <c r="F147">
        <f>NT_I!G40</f>
        <v>32</v>
      </c>
      <c r="G147" t="str">
        <f>IF(NT_I!H40&lt;&gt;"",NT_I!H40,"")</f>
        <v/>
      </c>
      <c r="H147" s="22">
        <f t="shared" si="7"/>
        <v>0</v>
      </c>
      <c r="I147" s="22">
        <f t="shared" si="8"/>
        <v>0</v>
      </c>
      <c r="J147" s="22">
        <f>ROUND(NT_I!I40,2)</f>
        <v>0</v>
      </c>
      <c r="K147" s="22">
        <f>ROUND(NT_I!J40,2)</f>
        <v>0</v>
      </c>
    </row>
    <row r="148" spans="4:11" x14ac:dyDescent="0.25">
      <c r="D148" t="s">
        <v>111</v>
      </c>
      <c r="E148">
        <v>4</v>
      </c>
      <c r="F148">
        <f>NT_I!G41</f>
        <v>33</v>
      </c>
      <c r="G148" t="str">
        <f>IF(NT_I!H41&lt;&gt;"",NT_I!H41,"")</f>
        <v/>
      </c>
      <c r="H148" s="22">
        <f t="shared" si="7"/>
        <v>0</v>
      </c>
      <c r="I148" s="22">
        <f t="shared" si="8"/>
        <v>0</v>
      </c>
      <c r="J148" s="22">
        <f>ROUND(NT_I!I41,2)</f>
        <v>0</v>
      </c>
      <c r="K148" s="22">
        <f>ROUND(NT_I!J41,2)</f>
        <v>0</v>
      </c>
    </row>
    <row r="149" spans="4:11" x14ac:dyDescent="0.25">
      <c r="D149" t="s">
        <v>112</v>
      </c>
      <c r="E149">
        <v>5</v>
      </c>
      <c r="F149" s="23">
        <f>NT_D!G9</f>
        <v>1</v>
      </c>
      <c r="G149" s="23" t="str">
        <f>IF(NT_D!H9&lt;&gt;"",NT_D!H9,"")</f>
        <v/>
      </c>
      <c r="H149" s="22">
        <f>J149/100*F149+2*K149/100*F149</f>
        <v>0</v>
      </c>
      <c r="I149" s="22">
        <f t="shared" si="8"/>
        <v>0</v>
      </c>
      <c r="J149" s="22">
        <f>ROUND(NT_D!I9,2)</f>
        <v>0</v>
      </c>
      <c r="K149" s="22">
        <f>ROUND(NT_D!J9,2)</f>
        <v>0</v>
      </c>
    </row>
    <row r="150" spans="4:11" x14ac:dyDescent="0.25">
      <c r="D150" t="s">
        <v>112</v>
      </c>
      <c r="E150">
        <v>5</v>
      </c>
      <c r="F150" s="23">
        <f>NT_D!G10</f>
        <v>2</v>
      </c>
      <c r="G150" s="23" t="str">
        <f>IF(NT_D!H10&lt;&gt;"",NT_D!H10,"")</f>
        <v/>
      </c>
      <c r="H150" s="22">
        <f>J150/100*F150+2*K150/100*F150</f>
        <v>0</v>
      </c>
      <c r="I150" s="22">
        <f t="shared" si="8"/>
        <v>0</v>
      </c>
      <c r="J150" s="22">
        <f>ROUND(NT_D!I10,2)</f>
        <v>0</v>
      </c>
      <c r="K150" s="22">
        <f>ROUND(NT_D!J10,2)</f>
        <v>0</v>
      </c>
    </row>
    <row r="151" spans="4:11" x14ac:dyDescent="0.25">
      <c r="D151" t="s">
        <v>112</v>
      </c>
      <c r="E151">
        <v>5</v>
      </c>
      <c r="F151" s="23">
        <f>NT_D!G11</f>
        <v>3</v>
      </c>
      <c r="G151" s="23" t="str">
        <f>IF(NT_D!H11&lt;&gt;"",NT_D!H11,"")</f>
        <v/>
      </c>
      <c r="H151" s="22">
        <f>J151/100*F151+2*K151/100*F151</f>
        <v>0</v>
      </c>
      <c r="I151" s="22">
        <f t="shared" si="8"/>
        <v>0</v>
      </c>
      <c r="J151" s="22">
        <f>ROUND(NT_D!I11,2)</f>
        <v>0</v>
      </c>
      <c r="K151" s="22">
        <f>ROUND(NT_D!J11,2)</f>
        <v>0</v>
      </c>
    </row>
    <row r="152" spans="4:11" x14ac:dyDescent="0.25">
      <c r="D152" t="s">
        <v>112</v>
      </c>
      <c r="E152">
        <v>5</v>
      </c>
      <c r="F152" s="23">
        <f>NT_D!G12</f>
        <v>4</v>
      </c>
      <c r="G152" s="23" t="str">
        <f>IF(NT_D!H12&lt;&gt;"",NT_D!H12,"")</f>
        <v/>
      </c>
      <c r="H152" s="22">
        <f t="shared" ref="H152:H185" si="9">J152/100*F152+2*K152/100*F152</f>
        <v>0</v>
      </c>
      <c r="I152" s="22">
        <f t="shared" si="8"/>
        <v>0</v>
      </c>
      <c r="J152" s="22">
        <f>ROUND(NT_D!I12,2)</f>
        <v>0</v>
      </c>
      <c r="K152" s="22">
        <f>ROUND(NT_D!J12,2)</f>
        <v>0</v>
      </c>
    </row>
    <row r="153" spans="4:11" x14ac:dyDescent="0.25">
      <c r="D153" t="s">
        <v>112</v>
      </c>
      <c r="E153">
        <v>5</v>
      </c>
      <c r="F153" s="23">
        <f>NT_D!G13</f>
        <v>5</v>
      </c>
      <c r="G153" s="23" t="str">
        <f>IF(NT_D!H13&lt;&gt;"",NT_D!H13,"")</f>
        <v/>
      </c>
      <c r="H153" s="22">
        <f t="shared" si="9"/>
        <v>0</v>
      </c>
      <c r="I153" s="22">
        <f t="shared" si="8"/>
        <v>0</v>
      </c>
      <c r="J153" s="22">
        <f>ROUND(NT_D!I13,2)</f>
        <v>0</v>
      </c>
      <c r="K153" s="22">
        <f>ROUND(NT_D!J13,2)</f>
        <v>0</v>
      </c>
    </row>
    <row r="154" spans="4:11" x14ac:dyDescent="0.25">
      <c r="D154" t="s">
        <v>112</v>
      </c>
      <c r="E154">
        <v>5</v>
      </c>
      <c r="F154" s="23">
        <f>NT_D!G14</f>
        <v>6</v>
      </c>
      <c r="G154" s="23" t="str">
        <f>IF(NT_D!H14&lt;&gt;"",NT_D!H14,"")</f>
        <v/>
      </c>
      <c r="H154" s="22">
        <f t="shared" si="9"/>
        <v>0</v>
      </c>
      <c r="I154" s="22">
        <f t="shared" si="8"/>
        <v>0</v>
      </c>
      <c r="J154" s="22">
        <f>ROUND(NT_D!I14,2)</f>
        <v>0</v>
      </c>
      <c r="K154" s="22">
        <f>ROUND(NT_D!J14,2)</f>
        <v>0</v>
      </c>
    </row>
    <row r="155" spans="4:11" x14ac:dyDescent="0.25">
      <c r="D155" t="s">
        <v>112</v>
      </c>
      <c r="E155">
        <v>5</v>
      </c>
      <c r="F155" s="23">
        <f>NT_D!G15</f>
        <v>7</v>
      </c>
      <c r="G155" s="23" t="str">
        <f>IF(NT_D!H15&lt;&gt;"",NT_D!H15,"")</f>
        <v/>
      </c>
      <c r="H155" s="22">
        <f t="shared" si="9"/>
        <v>0</v>
      </c>
      <c r="I155" s="22">
        <f t="shared" si="8"/>
        <v>0</v>
      </c>
      <c r="J155" s="22">
        <f>ROUND(NT_D!I15,2)</f>
        <v>0</v>
      </c>
      <c r="K155" s="22">
        <f>ROUND(NT_D!J15,2)</f>
        <v>0</v>
      </c>
    </row>
    <row r="156" spans="4:11" x14ac:dyDescent="0.25">
      <c r="D156" t="s">
        <v>112</v>
      </c>
      <c r="E156">
        <v>5</v>
      </c>
      <c r="F156" s="23">
        <f>NT_D!G16</f>
        <v>8</v>
      </c>
      <c r="G156" s="23" t="str">
        <f>IF(NT_D!H16&lt;&gt;"",NT_D!H16,"")</f>
        <v/>
      </c>
      <c r="H156" s="22">
        <f t="shared" si="9"/>
        <v>0</v>
      </c>
      <c r="I156" s="22">
        <f t="shared" si="8"/>
        <v>0</v>
      </c>
      <c r="J156" s="22">
        <f>ROUND(NT_D!I16,2)</f>
        <v>0</v>
      </c>
      <c r="K156" s="22">
        <f>ROUND(NT_D!J16,2)</f>
        <v>0</v>
      </c>
    </row>
    <row r="157" spans="4:11" x14ac:dyDescent="0.25">
      <c r="D157" t="s">
        <v>112</v>
      </c>
      <c r="E157">
        <v>5</v>
      </c>
      <c r="F157" s="23">
        <f>NT_D!G17</f>
        <v>9</v>
      </c>
      <c r="G157" s="23" t="str">
        <f>IF(NT_D!H17&lt;&gt;"",NT_D!H17,"")</f>
        <v/>
      </c>
      <c r="H157" s="22">
        <f t="shared" si="9"/>
        <v>0</v>
      </c>
      <c r="I157" s="22">
        <f t="shared" si="8"/>
        <v>0</v>
      </c>
      <c r="J157" s="22">
        <f>ROUND(NT_D!I17,2)</f>
        <v>0</v>
      </c>
      <c r="K157" s="22">
        <f>ROUND(NT_D!J17,2)</f>
        <v>0</v>
      </c>
    </row>
    <row r="158" spans="4:11" x14ac:dyDescent="0.25">
      <c r="D158" t="s">
        <v>112</v>
      </c>
      <c r="E158">
        <v>5</v>
      </c>
      <c r="F158" s="23">
        <f>NT_D!G18</f>
        <v>10</v>
      </c>
      <c r="G158" s="23" t="str">
        <f>IF(NT_D!H18&lt;&gt;"",NT_D!H18,"")</f>
        <v/>
      </c>
      <c r="H158" s="22">
        <f t="shared" si="9"/>
        <v>0</v>
      </c>
      <c r="I158" s="22">
        <f t="shared" si="8"/>
        <v>0</v>
      </c>
      <c r="J158" s="22">
        <f>ROUND(NT_D!I18,2)</f>
        <v>0</v>
      </c>
      <c r="K158" s="22">
        <f>ROUND(NT_D!J18,2)</f>
        <v>0</v>
      </c>
    </row>
    <row r="159" spans="4:11" x14ac:dyDescent="0.25">
      <c r="D159" t="s">
        <v>112</v>
      </c>
      <c r="E159">
        <v>5</v>
      </c>
      <c r="F159" s="23">
        <f>NT_D!G19</f>
        <v>11</v>
      </c>
      <c r="G159" s="23" t="str">
        <f>IF(NT_D!H19&lt;&gt;"",NT_D!H19,"")</f>
        <v/>
      </c>
      <c r="H159" s="22">
        <f t="shared" si="9"/>
        <v>0</v>
      </c>
      <c r="I159" s="22">
        <f t="shared" si="8"/>
        <v>0</v>
      </c>
      <c r="J159" s="22">
        <f>ROUND(NT_D!I19,2)</f>
        <v>0</v>
      </c>
      <c r="K159" s="22">
        <f>ROUND(NT_D!J19,2)</f>
        <v>0</v>
      </c>
    </row>
    <row r="160" spans="4:11" x14ac:dyDescent="0.25">
      <c r="D160" t="s">
        <v>112</v>
      </c>
      <c r="E160">
        <v>5</v>
      </c>
      <c r="F160" s="23">
        <f>NT_D!G20</f>
        <v>12</v>
      </c>
      <c r="G160" s="23" t="str">
        <f>IF(NT_D!H20&lt;&gt;"",NT_D!H20,"")</f>
        <v/>
      </c>
      <c r="H160" s="22">
        <f t="shared" si="9"/>
        <v>0</v>
      </c>
      <c r="I160" s="22">
        <f t="shared" si="8"/>
        <v>0</v>
      </c>
      <c r="J160" s="22">
        <f>ROUND(NT_D!I20,2)</f>
        <v>0</v>
      </c>
      <c r="K160" s="22">
        <f>ROUND(NT_D!J20,2)</f>
        <v>0</v>
      </c>
    </row>
    <row r="161" spans="4:11" x14ac:dyDescent="0.25">
      <c r="D161" t="s">
        <v>112</v>
      </c>
      <c r="E161">
        <v>5</v>
      </c>
      <c r="F161" s="23">
        <f>NT_D!G21</f>
        <v>13</v>
      </c>
      <c r="G161" s="23" t="str">
        <f>IF(NT_D!H21&lt;&gt;"",NT_D!H21,"")</f>
        <v/>
      </c>
      <c r="H161" s="22">
        <f t="shared" si="9"/>
        <v>0</v>
      </c>
      <c r="I161" s="22">
        <f t="shared" si="8"/>
        <v>0</v>
      </c>
      <c r="J161" s="22">
        <f>ROUND(NT_D!I21,2)</f>
        <v>0</v>
      </c>
      <c r="K161" s="22">
        <f>ROUND(NT_D!J21,2)</f>
        <v>0</v>
      </c>
    </row>
    <row r="162" spans="4:11" x14ac:dyDescent="0.25">
      <c r="D162" t="s">
        <v>112</v>
      </c>
      <c r="E162">
        <v>5</v>
      </c>
      <c r="F162" s="23">
        <f>NT_D!G22</f>
        <v>14</v>
      </c>
      <c r="G162" s="23" t="str">
        <f>IF(NT_D!H22&lt;&gt;"",NT_D!H22,"")</f>
        <v/>
      </c>
      <c r="H162" s="22">
        <f t="shared" si="9"/>
        <v>0</v>
      </c>
      <c r="I162" s="22">
        <f t="shared" ref="I162:I185" si="10">ABS(ROUND(J162,2)-J162)+ABS(ROUND(K162,2)-K162)</f>
        <v>0</v>
      </c>
      <c r="J162" s="22">
        <f>ROUND(NT_D!I22,2)</f>
        <v>0</v>
      </c>
      <c r="K162" s="22">
        <f>ROUND(NT_D!J22,2)</f>
        <v>0</v>
      </c>
    </row>
    <row r="163" spans="4:11" x14ac:dyDescent="0.25">
      <c r="D163" t="s">
        <v>112</v>
      </c>
      <c r="E163">
        <v>5</v>
      </c>
      <c r="F163" s="23">
        <f>NT_D!G23</f>
        <v>15</v>
      </c>
      <c r="G163" s="23" t="str">
        <f>IF(NT_D!H23&lt;&gt;"",NT_D!H23,"")</f>
        <v/>
      </c>
      <c r="H163" s="22">
        <f t="shared" si="9"/>
        <v>0</v>
      </c>
      <c r="I163" s="22">
        <f t="shared" si="10"/>
        <v>0</v>
      </c>
      <c r="J163" s="22">
        <f>ROUND(NT_D!I23,2)</f>
        <v>0</v>
      </c>
      <c r="K163" s="22">
        <f>ROUND(NT_D!J23,2)</f>
        <v>0</v>
      </c>
    </row>
    <row r="164" spans="4:11" x14ac:dyDescent="0.25">
      <c r="D164" t="s">
        <v>112</v>
      </c>
      <c r="E164">
        <v>5</v>
      </c>
      <c r="F164" s="23">
        <f>NT_D!G24</f>
        <v>16</v>
      </c>
      <c r="G164" s="23" t="str">
        <f>IF(NT_D!H24&lt;&gt;"",NT_D!H24,"")</f>
        <v/>
      </c>
      <c r="H164" s="22">
        <f t="shared" si="9"/>
        <v>0</v>
      </c>
      <c r="I164" s="22">
        <f t="shared" si="10"/>
        <v>0</v>
      </c>
      <c r="J164" s="22">
        <f>ROUND(NT_D!I24,2)</f>
        <v>0</v>
      </c>
      <c r="K164" s="22">
        <f>ROUND(NT_D!J24,2)</f>
        <v>0</v>
      </c>
    </row>
    <row r="165" spans="4:11" x14ac:dyDescent="0.25">
      <c r="D165" t="s">
        <v>112</v>
      </c>
      <c r="E165">
        <v>5</v>
      </c>
      <c r="F165" s="23">
        <f>NT_D!G25</f>
        <v>17</v>
      </c>
      <c r="G165" s="23" t="str">
        <f>IF(NT_D!H25&lt;&gt;"",NT_D!H25,"")</f>
        <v/>
      </c>
      <c r="H165" s="22">
        <f t="shared" si="9"/>
        <v>0</v>
      </c>
      <c r="I165" s="22">
        <f t="shared" si="10"/>
        <v>0</v>
      </c>
      <c r="J165" s="22">
        <f>ROUND(NT_D!I25,2)</f>
        <v>0</v>
      </c>
      <c r="K165" s="22">
        <f>ROUND(NT_D!J25,2)</f>
        <v>0</v>
      </c>
    </row>
    <row r="166" spans="4:11" x14ac:dyDescent="0.25">
      <c r="D166" t="s">
        <v>112</v>
      </c>
      <c r="E166">
        <v>5</v>
      </c>
      <c r="F166" s="23">
        <f>NT_D!G26</f>
        <v>18</v>
      </c>
      <c r="G166" s="23" t="str">
        <f>IF(NT_D!H26&lt;&gt;"",NT_D!H26,"")</f>
        <v/>
      </c>
      <c r="H166" s="22">
        <f t="shared" si="9"/>
        <v>0</v>
      </c>
      <c r="I166" s="22">
        <f t="shared" si="10"/>
        <v>0</v>
      </c>
      <c r="J166" s="22">
        <f>ROUND(NT_D!I26,2)</f>
        <v>0</v>
      </c>
      <c r="K166" s="22">
        <f>ROUND(NT_D!J26,2)</f>
        <v>0</v>
      </c>
    </row>
    <row r="167" spans="4:11" x14ac:dyDescent="0.25">
      <c r="D167" t="s">
        <v>112</v>
      </c>
      <c r="E167">
        <v>5</v>
      </c>
      <c r="F167" s="23">
        <f>NT_D!G27</f>
        <v>19</v>
      </c>
      <c r="G167" s="23" t="str">
        <f>IF(NT_D!H27&lt;&gt;"",NT_D!H27,"")</f>
        <v/>
      </c>
      <c r="H167" s="22">
        <f t="shared" si="9"/>
        <v>0</v>
      </c>
      <c r="I167" s="22">
        <f t="shared" si="10"/>
        <v>0</v>
      </c>
      <c r="J167" s="22">
        <f>ROUND(NT_D!I27,2)</f>
        <v>0</v>
      </c>
      <c r="K167" s="22">
        <f>ROUND(NT_D!J27,2)</f>
        <v>0</v>
      </c>
    </row>
    <row r="168" spans="4:11" x14ac:dyDescent="0.25">
      <c r="D168" t="s">
        <v>112</v>
      </c>
      <c r="E168">
        <v>5</v>
      </c>
      <c r="F168" s="23">
        <f>NT_D!G28</f>
        <v>20</v>
      </c>
      <c r="G168" s="23" t="str">
        <f>IF(NT_D!H28&lt;&gt;"",NT_D!H28,"")</f>
        <v/>
      </c>
      <c r="H168" s="22">
        <f t="shared" si="9"/>
        <v>0</v>
      </c>
      <c r="I168" s="22">
        <f t="shared" si="10"/>
        <v>0</v>
      </c>
      <c r="J168" s="22">
        <f>ROUND(NT_D!I28,2)</f>
        <v>0</v>
      </c>
      <c r="K168" s="22">
        <f>ROUND(NT_D!J28,2)</f>
        <v>0</v>
      </c>
    </row>
    <row r="169" spans="4:11" x14ac:dyDescent="0.25">
      <c r="D169" t="s">
        <v>112</v>
      </c>
      <c r="E169">
        <v>5</v>
      </c>
      <c r="F169" s="23">
        <f>NT_D!G29</f>
        <v>21</v>
      </c>
      <c r="G169" s="23" t="str">
        <f>IF(NT_D!H29&lt;&gt;"",NT_D!H29,"")</f>
        <v/>
      </c>
      <c r="H169" s="22">
        <f t="shared" si="9"/>
        <v>0</v>
      </c>
      <c r="I169" s="22">
        <f t="shared" si="10"/>
        <v>0</v>
      </c>
      <c r="J169" s="22">
        <f>ROUND(NT_D!I29,2)</f>
        <v>0</v>
      </c>
      <c r="K169" s="22">
        <f>ROUND(NT_D!J29,2)</f>
        <v>0</v>
      </c>
    </row>
    <row r="170" spans="4:11" x14ac:dyDescent="0.25">
      <c r="D170" t="s">
        <v>112</v>
      </c>
      <c r="E170">
        <v>5</v>
      </c>
      <c r="F170" s="23">
        <f>NT_D!G30</f>
        <v>22</v>
      </c>
      <c r="G170" s="23" t="str">
        <f>IF(NT_D!H30&lt;&gt;"",NT_D!H30,"")</f>
        <v/>
      </c>
      <c r="H170" s="22">
        <f t="shared" si="9"/>
        <v>0</v>
      </c>
      <c r="I170" s="22">
        <f t="shared" si="10"/>
        <v>0</v>
      </c>
      <c r="J170" s="22">
        <f>ROUND(NT_D!I30,2)</f>
        <v>0</v>
      </c>
      <c r="K170" s="22">
        <f>ROUND(NT_D!J30,2)</f>
        <v>0</v>
      </c>
    </row>
    <row r="171" spans="4:11" x14ac:dyDescent="0.25">
      <c r="D171" t="s">
        <v>112</v>
      </c>
      <c r="E171">
        <v>5</v>
      </c>
      <c r="F171" s="23">
        <f>NT_D!G31</f>
        <v>23</v>
      </c>
      <c r="G171" s="23" t="str">
        <f>IF(NT_D!H31&lt;&gt;"",NT_D!H31,"")</f>
        <v/>
      </c>
      <c r="H171" s="22">
        <f t="shared" si="9"/>
        <v>0</v>
      </c>
      <c r="I171" s="22">
        <f t="shared" si="10"/>
        <v>0</v>
      </c>
      <c r="J171" s="22">
        <f>ROUND(NT_D!I31,2)</f>
        <v>0</v>
      </c>
      <c r="K171" s="22">
        <f>ROUND(NT_D!J31,2)</f>
        <v>0</v>
      </c>
    </row>
    <row r="172" spans="4:11" x14ac:dyDescent="0.25">
      <c r="D172" t="s">
        <v>112</v>
      </c>
      <c r="E172">
        <v>5</v>
      </c>
      <c r="F172" s="23">
        <f>NT_D!G32</f>
        <v>24</v>
      </c>
      <c r="G172" s="23" t="str">
        <f>IF(NT_D!H32&lt;&gt;"",NT_D!H32,"")</f>
        <v/>
      </c>
      <c r="H172" s="22">
        <f t="shared" si="9"/>
        <v>0</v>
      </c>
      <c r="I172" s="22">
        <f t="shared" si="10"/>
        <v>0</v>
      </c>
      <c r="J172" s="22">
        <f>ROUND(NT_D!I32,2)</f>
        <v>0</v>
      </c>
      <c r="K172" s="22">
        <f>ROUND(NT_D!J32,2)</f>
        <v>0</v>
      </c>
    </row>
    <row r="173" spans="4:11" x14ac:dyDescent="0.25">
      <c r="D173" t="s">
        <v>112</v>
      </c>
      <c r="E173">
        <v>5</v>
      </c>
      <c r="F173" s="23">
        <f>NT_D!G33</f>
        <v>25</v>
      </c>
      <c r="G173" s="23" t="str">
        <f>IF(NT_D!H33&lt;&gt;"",NT_D!H33,"")</f>
        <v/>
      </c>
      <c r="H173" s="22">
        <f t="shared" si="9"/>
        <v>0</v>
      </c>
      <c r="I173" s="22">
        <f t="shared" si="10"/>
        <v>0</v>
      </c>
      <c r="J173" s="22">
        <f>ROUND(NT_D!I33,2)</f>
        <v>0</v>
      </c>
      <c r="K173" s="22">
        <f>ROUND(NT_D!J33,2)</f>
        <v>0</v>
      </c>
    </row>
    <row r="174" spans="4:11" x14ac:dyDescent="0.25">
      <c r="D174" t="s">
        <v>112</v>
      </c>
      <c r="E174">
        <v>5</v>
      </c>
      <c r="F174" s="23">
        <f>NT_D!G34</f>
        <v>26</v>
      </c>
      <c r="G174" s="23" t="str">
        <f>IF(NT_D!H34&lt;&gt;"",NT_D!H34,"")</f>
        <v/>
      </c>
      <c r="H174" s="22">
        <f t="shared" si="9"/>
        <v>0</v>
      </c>
      <c r="I174" s="22">
        <f t="shared" si="10"/>
        <v>0</v>
      </c>
      <c r="J174" s="22">
        <f>ROUND(NT_D!I34,2)</f>
        <v>0</v>
      </c>
      <c r="K174" s="22">
        <f>ROUND(NT_D!J34,2)</f>
        <v>0</v>
      </c>
    </row>
    <row r="175" spans="4:11" x14ac:dyDescent="0.25">
      <c r="D175" t="s">
        <v>112</v>
      </c>
      <c r="E175">
        <v>5</v>
      </c>
      <c r="F175" s="23">
        <f>NT_D!G35</f>
        <v>27</v>
      </c>
      <c r="G175" s="23" t="str">
        <f>IF(NT_D!H35&lt;&gt;"",NT_D!H35,"")</f>
        <v/>
      </c>
      <c r="H175" s="22">
        <f t="shared" si="9"/>
        <v>0</v>
      </c>
      <c r="I175" s="22">
        <f t="shared" si="10"/>
        <v>0</v>
      </c>
      <c r="J175" s="22">
        <f>ROUND(NT_D!I35,2)</f>
        <v>0</v>
      </c>
      <c r="K175" s="22">
        <f>ROUND(NT_D!J35,2)</f>
        <v>0</v>
      </c>
    </row>
    <row r="176" spans="4:11" x14ac:dyDescent="0.25">
      <c r="D176" t="s">
        <v>112</v>
      </c>
      <c r="E176">
        <v>5</v>
      </c>
      <c r="F176" s="23">
        <f>NT_D!G36</f>
        <v>28</v>
      </c>
      <c r="G176" s="23" t="str">
        <f>IF(NT_D!H36&lt;&gt;"",NT_D!H36,"")</f>
        <v/>
      </c>
      <c r="H176" s="22">
        <f t="shared" si="9"/>
        <v>0</v>
      </c>
      <c r="I176" s="22">
        <f t="shared" si="10"/>
        <v>0</v>
      </c>
      <c r="J176" s="22">
        <f>ROUND(NT_D!I36,2)</f>
        <v>0</v>
      </c>
      <c r="K176" s="22">
        <f>ROUND(NT_D!J36,2)</f>
        <v>0</v>
      </c>
    </row>
    <row r="177" spans="4:18" x14ac:dyDescent="0.25">
      <c r="D177" t="s">
        <v>112</v>
      </c>
      <c r="E177">
        <v>5</v>
      </c>
      <c r="F177" s="23">
        <f>NT_D!G37</f>
        <v>29</v>
      </c>
      <c r="G177" s="23" t="str">
        <f>IF(NT_D!H37&lt;&gt;"",NT_D!H37,"")</f>
        <v/>
      </c>
      <c r="H177" s="22">
        <f t="shared" si="9"/>
        <v>0</v>
      </c>
      <c r="I177" s="22">
        <f t="shared" si="10"/>
        <v>0</v>
      </c>
      <c r="J177" s="22">
        <f>ROUND(NT_D!I37,2)</f>
        <v>0</v>
      </c>
      <c r="K177" s="22">
        <f>ROUND(NT_D!J37,2)</f>
        <v>0</v>
      </c>
    </row>
    <row r="178" spans="4:18" x14ac:dyDescent="0.25">
      <c r="D178" t="s">
        <v>112</v>
      </c>
      <c r="E178">
        <v>5</v>
      </c>
      <c r="F178" s="23">
        <f>NT_D!G38</f>
        <v>30</v>
      </c>
      <c r="G178" s="23" t="str">
        <f>IF(NT_D!H38&lt;&gt;"",NT_D!H38,"")</f>
        <v/>
      </c>
      <c r="H178" s="22">
        <f t="shared" si="9"/>
        <v>0</v>
      </c>
      <c r="I178" s="22">
        <f t="shared" si="10"/>
        <v>0</v>
      </c>
      <c r="J178" s="22">
        <f>ROUND(NT_D!I38,2)</f>
        <v>0</v>
      </c>
      <c r="K178" s="22">
        <f>ROUND(NT_D!J38,2)</f>
        <v>0</v>
      </c>
    </row>
    <row r="179" spans="4:18" x14ac:dyDescent="0.25">
      <c r="D179" t="s">
        <v>112</v>
      </c>
      <c r="E179">
        <v>5</v>
      </c>
      <c r="F179" s="23">
        <f>NT_D!G39</f>
        <v>31</v>
      </c>
      <c r="G179" s="23" t="str">
        <f>IF(NT_D!H39&lt;&gt;"",NT_D!H39,"")</f>
        <v/>
      </c>
      <c r="H179" s="22">
        <f t="shared" si="9"/>
        <v>0</v>
      </c>
      <c r="I179" s="22">
        <f t="shared" si="10"/>
        <v>0</v>
      </c>
      <c r="J179" s="22">
        <f>ROUND(NT_D!I39,2)</f>
        <v>0</v>
      </c>
      <c r="K179" s="22">
        <f>ROUND(NT_D!J39,2)</f>
        <v>0</v>
      </c>
    </row>
    <row r="180" spans="4:18" x14ac:dyDescent="0.25">
      <c r="D180" t="s">
        <v>112</v>
      </c>
      <c r="E180">
        <v>5</v>
      </c>
      <c r="F180" s="23">
        <f>NT_D!G40</f>
        <v>32</v>
      </c>
      <c r="G180" s="23" t="str">
        <f>IF(NT_D!H40&lt;&gt;"",NT_D!H40,"")</f>
        <v/>
      </c>
      <c r="H180" s="22">
        <f t="shared" si="9"/>
        <v>0</v>
      </c>
      <c r="I180" s="22">
        <f t="shared" si="10"/>
        <v>0</v>
      </c>
      <c r="J180" s="22">
        <f>ROUND(NT_D!I40,2)</f>
        <v>0</v>
      </c>
      <c r="K180" s="22">
        <f>ROUND(NT_D!J40,2)</f>
        <v>0</v>
      </c>
    </row>
    <row r="181" spans="4:18" x14ac:dyDescent="0.25">
      <c r="D181" t="s">
        <v>112</v>
      </c>
      <c r="E181">
        <v>5</v>
      </c>
      <c r="F181" s="23">
        <f>NT_D!G41</f>
        <v>33</v>
      </c>
      <c r="G181" s="23" t="str">
        <f>IF(NT_D!H41&lt;&gt;"",NT_D!H41,"")</f>
        <v/>
      </c>
      <c r="H181" s="22">
        <f t="shared" si="9"/>
        <v>0</v>
      </c>
      <c r="I181" s="22">
        <f t="shared" si="10"/>
        <v>0</v>
      </c>
      <c r="J181" s="22">
        <f>ROUND(NT_D!I41,2)</f>
        <v>0</v>
      </c>
      <c r="K181" s="22">
        <f>ROUND(NT_D!J41,2)</f>
        <v>0</v>
      </c>
    </row>
    <row r="182" spans="4:18" x14ac:dyDescent="0.25">
      <c r="D182" t="s">
        <v>112</v>
      </c>
      <c r="E182">
        <v>5</v>
      </c>
      <c r="F182" s="23">
        <f>NT_D!G42</f>
        <v>34</v>
      </c>
      <c r="G182" s="23" t="str">
        <f>IF(NT_D!H42&lt;&gt;"",NT_D!H42,"")</f>
        <v/>
      </c>
      <c r="H182" s="22">
        <f t="shared" si="9"/>
        <v>0</v>
      </c>
      <c r="I182" s="22">
        <f t="shared" si="10"/>
        <v>0</v>
      </c>
      <c r="J182" s="22">
        <f>ROUND(NT_D!I42,2)</f>
        <v>0</v>
      </c>
      <c r="K182" s="22">
        <f>ROUND(NT_D!J42,2)</f>
        <v>0</v>
      </c>
    </row>
    <row r="183" spans="4:18" x14ac:dyDescent="0.25">
      <c r="D183" t="s">
        <v>112</v>
      </c>
      <c r="E183">
        <v>5</v>
      </c>
      <c r="F183" s="23">
        <f>NT_D!G43</f>
        <v>35</v>
      </c>
      <c r="G183" s="23" t="str">
        <f>IF(NT_D!H43&lt;&gt;"",NT_D!H43,"")</f>
        <v/>
      </c>
      <c r="H183" s="22">
        <f t="shared" si="9"/>
        <v>0</v>
      </c>
      <c r="I183" s="22">
        <f t="shared" si="10"/>
        <v>0</v>
      </c>
      <c r="J183" s="22">
        <f>ROUND(NT_D!I43,2)</f>
        <v>0</v>
      </c>
      <c r="K183" s="22">
        <f>ROUND(NT_D!J43,2)</f>
        <v>0</v>
      </c>
    </row>
    <row r="184" spans="4:18" x14ac:dyDescent="0.25">
      <c r="D184" t="s">
        <v>112</v>
      </c>
      <c r="E184">
        <v>5</v>
      </c>
      <c r="F184" s="23">
        <f>NT_D!G44</f>
        <v>36</v>
      </c>
      <c r="G184" s="23" t="str">
        <f>IF(NT_D!H44&lt;&gt;"",NT_D!H44,"")</f>
        <v/>
      </c>
      <c r="H184" s="22">
        <f t="shared" si="9"/>
        <v>0</v>
      </c>
      <c r="I184" s="22">
        <f t="shared" si="10"/>
        <v>0</v>
      </c>
      <c r="J184" s="22">
        <f>ROUND(NT_D!I44,2)</f>
        <v>0</v>
      </c>
      <c r="K184" s="22">
        <f>ROUND(NT_D!J44,2)</f>
        <v>0</v>
      </c>
    </row>
    <row r="185" spans="4:18" x14ac:dyDescent="0.25">
      <c r="D185" t="s">
        <v>112</v>
      </c>
      <c r="E185">
        <v>5</v>
      </c>
      <c r="F185" s="23">
        <f>NT_D!G45</f>
        <v>37</v>
      </c>
      <c r="G185" s="23" t="str">
        <f>IF(NT_D!H45&lt;&gt;"",NT_D!H45,"")</f>
        <v/>
      </c>
      <c r="H185" s="22">
        <f t="shared" si="9"/>
        <v>0</v>
      </c>
      <c r="I185" s="22">
        <f t="shared" si="10"/>
        <v>0</v>
      </c>
      <c r="J185" s="22">
        <f>ROUND(NT_D!I45,2)</f>
        <v>0</v>
      </c>
      <c r="K185" s="22">
        <f>ROUND(NT_D!J45,2)</f>
        <v>0</v>
      </c>
    </row>
    <row r="186" spans="4:18" x14ac:dyDescent="0.25">
      <c r="D186" t="s">
        <v>113</v>
      </c>
      <c r="E186">
        <v>6</v>
      </c>
      <c r="F186">
        <f>PK!G9</f>
        <v>1</v>
      </c>
      <c r="G186" t="str">
        <f>IF(PK!H9&lt;&gt;"",PK!H9,"")</f>
        <v/>
      </c>
      <c r="H186" s="22">
        <f>J186/100*F186+2*K186/100*F186+3*L186/100+4*M186/100+5*N186/100+6*O186/100+7*P186/100+8*Q186/100+9*R186/100</f>
        <v>0</v>
      </c>
      <c r="I186" s="22">
        <f t="shared" ref="I186:I221" si="11">ABS(ROUND(J186,2)-J186)+ABS(ROUND(K186,2)-K186)+ABS(ROUND(L186,2)-L186)+ABS(ROUND(M186,2)-M186)+ABS(ROUND(N186,2)-N186)+ABS(ROUND(O186,2)-O186)+ABS(ROUND(P186,2)-P186)+ABS(ROUND(Q186,2)-Q186)+ABS(ROUND(R186,2)-R186)</f>
        <v>0</v>
      </c>
      <c r="J186" s="22">
        <f>ROUND(PK!I9,2)</f>
        <v>0</v>
      </c>
      <c r="K186" s="22">
        <f>ROUND(PK!J9,2)</f>
        <v>0</v>
      </c>
      <c r="L186" s="22">
        <f>ROUND(PK!K9,2)</f>
        <v>0</v>
      </c>
      <c r="M186" s="22">
        <f>ROUND(PK!L9,2)</f>
        <v>0</v>
      </c>
      <c r="N186" s="22">
        <f>ROUND(PK!M9,2)</f>
        <v>0</v>
      </c>
      <c r="O186" s="22">
        <f>ROUND(PK!N9,2)</f>
        <v>0</v>
      </c>
      <c r="P186" s="22">
        <f>ROUND(PK!O9,2)</f>
        <v>0</v>
      </c>
      <c r="Q186" s="22">
        <f>ROUND(PK!P9,2)</f>
        <v>0</v>
      </c>
      <c r="R186" s="22">
        <f>ROUND(PK!Q9,2)</f>
        <v>0</v>
      </c>
    </row>
    <row r="187" spans="4:18" x14ac:dyDescent="0.25">
      <c r="D187" t="s">
        <v>113</v>
      </c>
      <c r="E187">
        <v>6</v>
      </c>
      <c r="F187">
        <f>PK!G10</f>
        <v>2</v>
      </c>
      <c r="G187" t="str">
        <f>IF(PK!H10&lt;&gt;"",PK!H10,"")</f>
        <v/>
      </c>
      <c r="H187" s="22">
        <f>J187/100*F187+2*K187/100*F187+3*L187/100+4*M187/100+5*N187/100+6*O187/100+7*P187/100+8*Q187/100+9*R187/100</f>
        <v>0</v>
      </c>
      <c r="I187" s="22">
        <f t="shared" si="11"/>
        <v>0</v>
      </c>
      <c r="J187" s="22">
        <f>ROUND(PK!I10,2)</f>
        <v>0</v>
      </c>
      <c r="K187" s="22">
        <f>ROUND(PK!J10,2)</f>
        <v>0</v>
      </c>
      <c r="L187" s="22">
        <f>ROUND(PK!K10,2)</f>
        <v>0</v>
      </c>
      <c r="M187" s="22">
        <f>ROUND(PK!L10,2)</f>
        <v>0</v>
      </c>
      <c r="N187" s="22">
        <f>ROUND(PK!M10,2)</f>
        <v>0</v>
      </c>
      <c r="O187" s="22">
        <f>ROUND(PK!N10,2)</f>
        <v>0</v>
      </c>
      <c r="P187" s="22">
        <f>ROUND(PK!O10,2)</f>
        <v>0</v>
      </c>
      <c r="Q187" s="22">
        <f>ROUND(PK!P10,2)</f>
        <v>0</v>
      </c>
      <c r="R187" s="22">
        <f>ROUND(PK!Q10,2)</f>
        <v>0</v>
      </c>
    </row>
    <row r="188" spans="4:18" x14ac:dyDescent="0.25">
      <c r="D188" t="s">
        <v>113</v>
      </c>
      <c r="E188">
        <v>6</v>
      </c>
      <c r="F188">
        <f>PK!G11</f>
        <v>3</v>
      </c>
      <c r="G188" t="str">
        <f>IF(PK!H11&lt;&gt;"",PK!H11,"")</f>
        <v/>
      </c>
      <c r="H188" s="22">
        <f t="shared" ref="H188:H221" si="12">J188/100*F188+2*K188/100*F188+3*L188/100+4*M188/100+5*N188/100+6*O188/100+7*P188/100+8*Q188/100+9*R188/100</f>
        <v>0</v>
      </c>
      <c r="I188" s="22">
        <f t="shared" si="11"/>
        <v>0</v>
      </c>
      <c r="J188" s="22">
        <f>ROUND(PK!I11,2)</f>
        <v>0</v>
      </c>
      <c r="K188" s="22">
        <f>ROUND(PK!J11,2)</f>
        <v>0</v>
      </c>
      <c r="L188" s="22">
        <f>ROUND(PK!K11,2)</f>
        <v>0</v>
      </c>
      <c r="M188" s="22">
        <f>ROUND(PK!L11,2)</f>
        <v>0</v>
      </c>
      <c r="N188" s="22">
        <f>ROUND(PK!M11,2)</f>
        <v>0</v>
      </c>
      <c r="O188" s="22">
        <f>ROUND(PK!N11,2)</f>
        <v>0</v>
      </c>
      <c r="P188" s="22">
        <f>ROUND(PK!O11,2)</f>
        <v>0</v>
      </c>
      <c r="Q188" s="22">
        <f>ROUND(PK!P11,2)</f>
        <v>0</v>
      </c>
      <c r="R188" s="22">
        <f>ROUND(PK!Q11,2)</f>
        <v>0</v>
      </c>
    </row>
    <row r="189" spans="4:18" x14ac:dyDescent="0.25">
      <c r="D189" t="s">
        <v>113</v>
      </c>
      <c r="E189">
        <v>6</v>
      </c>
      <c r="F189">
        <f>PK!G12</f>
        <v>4</v>
      </c>
      <c r="G189" t="str">
        <f>IF(PK!H12&lt;&gt;"",PK!H12,"")</f>
        <v/>
      </c>
      <c r="H189" s="22">
        <f t="shared" si="12"/>
        <v>0</v>
      </c>
      <c r="I189" s="22">
        <f t="shared" si="11"/>
        <v>0</v>
      </c>
      <c r="J189" s="22">
        <f>ROUND(PK!I12,2)</f>
        <v>0</v>
      </c>
      <c r="K189" s="22">
        <f>ROUND(PK!J12,2)</f>
        <v>0</v>
      </c>
      <c r="L189" s="22">
        <f>ROUND(PK!K12,2)</f>
        <v>0</v>
      </c>
      <c r="M189" s="22">
        <f>ROUND(PK!L12,2)</f>
        <v>0</v>
      </c>
      <c r="N189" s="22">
        <f>ROUND(PK!M12,2)</f>
        <v>0</v>
      </c>
      <c r="O189" s="22">
        <f>ROUND(PK!N12,2)</f>
        <v>0</v>
      </c>
      <c r="P189" s="22">
        <f>ROUND(PK!O12,2)</f>
        <v>0</v>
      </c>
      <c r="Q189" s="22">
        <f>ROUND(PK!P12,2)</f>
        <v>0</v>
      </c>
      <c r="R189" s="22">
        <f>ROUND(PK!Q12,2)</f>
        <v>0</v>
      </c>
    </row>
    <row r="190" spans="4:18" x14ac:dyDescent="0.25">
      <c r="D190" t="s">
        <v>113</v>
      </c>
      <c r="E190">
        <v>6</v>
      </c>
      <c r="F190">
        <f>PK!G13</f>
        <v>5</v>
      </c>
      <c r="G190" t="str">
        <f>IF(PK!H13&lt;&gt;"",PK!H13,"")</f>
        <v/>
      </c>
      <c r="H190" s="22">
        <f t="shared" si="12"/>
        <v>0</v>
      </c>
      <c r="I190" s="22">
        <f t="shared" si="11"/>
        <v>0</v>
      </c>
      <c r="J190" s="22">
        <f>ROUND(PK!I13,2)</f>
        <v>0</v>
      </c>
      <c r="K190" s="22">
        <f>ROUND(PK!J13,2)</f>
        <v>0</v>
      </c>
      <c r="L190" s="22">
        <f>ROUND(PK!K13,2)</f>
        <v>0</v>
      </c>
      <c r="M190" s="22">
        <f>ROUND(PK!L13,2)</f>
        <v>0</v>
      </c>
      <c r="N190" s="22">
        <f>ROUND(PK!M13,2)</f>
        <v>0</v>
      </c>
      <c r="O190" s="22">
        <f>ROUND(PK!N13,2)</f>
        <v>0</v>
      </c>
      <c r="P190" s="22">
        <f>ROUND(PK!O13,2)</f>
        <v>0</v>
      </c>
      <c r="Q190" s="22">
        <f>ROUND(PK!P13,2)</f>
        <v>0</v>
      </c>
      <c r="R190" s="22">
        <f>ROUND(PK!Q13,2)</f>
        <v>0</v>
      </c>
    </row>
    <row r="191" spans="4:18" x14ac:dyDescent="0.25">
      <c r="D191" t="s">
        <v>113</v>
      </c>
      <c r="E191">
        <v>6</v>
      </c>
      <c r="F191">
        <f>PK!G14</f>
        <v>6</v>
      </c>
      <c r="G191" t="str">
        <f>IF(PK!H14&lt;&gt;"",PK!H14,"")</f>
        <v/>
      </c>
      <c r="H191" s="22">
        <f t="shared" si="12"/>
        <v>0</v>
      </c>
      <c r="I191" s="22">
        <f t="shared" si="11"/>
        <v>0</v>
      </c>
      <c r="J191" s="22">
        <f>ROUND(PK!I14,2)</f>
        <v>0</v>
      </c>
      <c r="K191" s="22">
        <f>ROUND(PK!J14,2)</f>
        <v>0</v>
      </c>
      <c r="L191" s="22">
        <f>ROUND(PK!K14,2)</f>
        <v>0</v>
      </c>
      <c r="M191" s="22">
        <f>ROUND(PK!L14,2)</f>
        <v>0</v>
      </c>
      <c r="N191" s="22">
        <f>ROUND(PK!M14,2)</f>
        <v>0</v>
      </c>
      <c r="O191" s="22">
        <f>ROUND(PK!N14,2)</f>
        <v>0</v>
      </c>
      <c r="P191" s="22">
        <f>ROUND(PK!O14,2)</f>
        <v>0</v>
      </c>
      <c r="Q191" s="22">
        <f>ROUND(PK!P14,2)</f>
        <v>0</v>
      </c>
      <c r="R191" s="22">
        <f>ROUND(PK!Q14,2)</f>
        <v>0</v>
      </c>
    </row>
    <row r="192" spans="4:18" x14ac:dyDescent="0.25">
      <c r="D192" t="s">
        <v>113</v>
      </c>
      <c r="E192">
        <v>6</v>
      </c>
      <c r="F192">
        <f>PK!G15</f>
        <v>7</v>
      </c>
      <c r="G192" t="str">
        <f>IF(PK!H15&lt;&gt;"",PK!H15,"")</f>
        <v/>
      </c>
      <c r="H192" s="22">
        <f t="shared" si="12"/>
        <v>0</v>
      </c>
      <c r="I192" s="22">
        <f t="shared" si="11"/>
        <v>0</v>
      </c>
      <c r="J192" s="22">
        <f>ROUND(PK!I15,2)</f>
        <v>0</v>
      </c>
      <c r="K192" s="22">
        <f>ROUND(PK!J15,2)</f>
        <v>0</v>
      </c>
      <c r="L192" s="22">
        <f>ROUND(PK!K15,2)</f>
        <v>0</v>
      </c>
      <c r="M192" s="22">
        <f>ROUND(PK!L15,2)</f>
        <v>0</v>
      </c>
      <c r="N192" s="22">
        <f>ROUND(PK!M15,2)</f>
        <v>0</v>
      </c>
      <c r="O192" s="22">
        <f>ROUND(PK!N15,2)</f>
        <v>0</v>
      </c>
      <c r="P192" s="22">
        <f>ROUND(PK!O15,2)</f>
        <v>0</v>
      </c>
      <c r="Q192" s="22">
        <f>ROUND(PK!P15,2)</f>
        <v>0</v>
      </c>
      <c r="R192" s="22">
        <f>ROUND(PK!Q15,2)</f>
        <v>0</v>
      </c>
    </row>
    <row r="193" spans="4:18" x14ac:dyDescent="0.25">
      <c r="D193" t="s">
        <v>113</v>
      </c>
      <c r="E193">
        <v>6</v>
      </c>
      <c r="F193">
        <f>PK!G16</f>
        <v>8</v>
      </c>
      <c r="G193" t="str">
        <f>IF(PK!H16&lt;&gt;"",PK!H16,"")</f>
        <v/>
      </c>
      <c r="H193" s="22">
        <f t="shared" si="12"/>
        <v>0</v>
      </c>
      <c r="I193" s="22">
        <f t="shared" si="11"/>
        <v>0</v>
      </c>
      <c r="J193" s="22">
        <f>ROUND(PK!I16,2)</f>
        <v>0</v>
      </c>
      <c r="K193" s="22">
        <f>ROUND(PK!J16,2)</f>
        <v>0</v>
      </c>
      <c r="L193" s="22">
        <f>ROUND(PK!K16,2)</f>
        <v>0</v>
      </c>
      <c r="M193" s="22">
        <f>ROUND(PK!L16,2)</f>
        <v>0</v>
      </c>
      <c r="N193" s="22">
        <f>ROUND(PK!M16,2)</f>
        <v>0</v>
      </c>
      <c r="O193" s="22">
        <f>ROUND(PK!N16,2)</f>
        <v>0</v>
      </c>
      <c r="P193" s="22">
        <f>ROUND(PK!O16,2)</f>
        <v>0</v>
      </c>
      <c r="Q193" s="22">
        <f>ROUND(PK!P16,2)</f>
        <v>0</v>
      </c>
      <c r="R193" s="22">
        <f>ROUND(PK!Q16,2)</f>
        <v>0</v>
      </c>
    </row>
    <row r="194" spans="4:18" x14ac:dyDescent="0.25">
      <c r="D194" t="s">
        <v>113</v>
      </c>
      <c r="E194">
        <v>6</v>
      </c>
      <c r="F194">
        <f>PK!G17</f>
        <v>9</v>
      </c>
      <c r="G194" t="str">
        <f>IF(PK!H17&lt;&gt;"",PK!H17,"")</f>
        <v/>
      </c>
      <c r="H194" s="22">
        <f t="shared" si="12"/>
        <v>0</v>
      </c>
      <c r="I194" s="22">
        <f t="shared" si="11"/>
        <v>0</v>
      </c>
      <c r="J194" s="22">
        <f>ROUND(PK!I17,2)</f>
        <v>0</v>
      </c>
      <c r="K194" s="22">
        <f>ROUND(PK!J17,2)</f>
        <v>0</v>
      </c>
      <c r="L194" s="22">
        <f>ROUND(PK!K17,2)</f>
        <v>0</v>
      </c>
      <c r="M194" s="22">
        <f>ROUND(PK!L17,2)</f>
        <v>0</v>
      </c>
      <c r="N194" s="22">
        <f>ROUND(PK!M17,2)</f>
        <v>0</v>
      </c>
      <c r="O194" s="22">
        <f>ROUND(PK!N17,2)</f>
        <v>0</v>
      </c>
      <c r="P194" s="22">
        <f>ROUND(PK!O17,2)</f>
        <v>0</v>
      </c>
      <c r="Q194" s="22">
        <f>ROUND(PK!P17,2)</f>
        <v>0</v>
      </c>
      <c r="R194" s="22">
        <f>ROUND(PK!Q17,2)</f>
        <v>0</v>
      </c>
    </row>
    <row r="195" spans="4:18" x14ac:dyDescent="0.25">
      <c r="D195" t="s">
        <v>113</v>
      </c>
      <c r="E195">
        <v>6</v>
      </c>
      <c r="F195">
        <f>PK!G18</f>
        <v>10</v>
      </c>
      <c r="G195" t="str">
        <f>IF(PK!H18&lt;&gt;"",PK!H18,"")</f>
        <v/>
      </c>
      <c r="H195" s="22">
        <f t="shared" si="12"/>
        <v>0</v>
      </c>
      <c r="I195" s="22">
        <f t="shared" si="11"/>
        <v>0</v>
      </c>
      <c r="J195" s="22">
        <f>ROUND(PK!I18,2)</f>
        <v>0</v>
      </c>
      <c r="K195" s="22">
        <f>ROUND(PK!J18,2)</f>
        <v>0</v>
      </c>
      <c r="L195" s="22">
        <f>ROUND(PK!K18,2)</f>
        <v>0</v>
      </c>
      <c r="M195" s="22">
        <f>ROUND(PK!L18,2)</f>
        <v>0</v>
      </c>
      <c r="N195" s="22">
        <f>ROUND(PK!M18,2)</f>
        <v>0</v>
      </c>
      <c r="O195" s="22">
        <f>ROUND(PK!N18,2)</f>
        <v>0</v>
      </c>
      <c r="P195" s="22">
        <f>ROUND(PK!O18,2)</f>
        <v>0</v>
      </c>
      <c r="Q195" s="22">
        <f>ROUND(PK!P18,2)</f>
        <v>0</v>
      </c>
      <c r="R195" s="22">
        <f>ROUND(PK!Q18,2)</f>
        <v>0</v>
      </c>
    </row>
    <row r="196" spans="4:18" x14ac:dyDescent="0.25">
      <c r="D196" t="s">
        <v>113</v>
      </c>
      <c r="E196">
        <v>6</v>
      </c>
      <c r="F196">
        <f>PK!G19</f>
        <v>11</v>
      </c>
      <c r="G196" t="str">
        <f>IF(PK!H19&lt;&gt;"",PK!H19,"")</f>
        <v/>
      </c>
      <c r="H196" s="22">
        <f t="shared" si="12"/>
        <v>0</v>
      </c>
      <c r="I196" s="22">
        <f t="shared" si="11"/>
        <v>0</v>
      </c>
      <c r="J196" s="22">
        <f>ROUND(PK!I19,2)</f>
        <v>0</v>
      </c>
      <c r="K196" s="22">
        <f>ROUND(PK!J19,2)</f>
        <v>0</v>
      </c>
      <c r="L196" s="22">
        <f>ROUND(PK!K19,2)</f>
        <v>0</v>
      </c>
      <c r="M196" s="22">
        <f>ROUND(PK!L19,2)</f>
        <v>0</v>
      </c>
      <c r="N196" s="22">
        <f>ROUND(PK!M19,2)</f>
        <v>0</v>
      </c>
      <c r="O196" s="22">
        <f>ROUND(PK!N19,2)</f>
        <v>0</v>
      </c>
      <c r="P196" s="22">
        <f>ROUND(PK!O19,2)</f>
        <v>0</v>
      </c>
      <c r="Q196" s="22">
        <f>ROUND(PK!P19,2)</f>
        <v>0</v>
      </c>
      <c r="R196" s="22">
        <f>ROUND(PK!Q19,2)</f>
        <v>0</v>
      </c>
    </row>
    <row r="197" spans="4:18" x14ac:dyDescent="0.25">
      <c r="D197" t="s">
        <v>113</v>
      </c>
      <c r="E197">
        <v>6</v>
      </c>
      <c r="F197">
        <f>PK!G20</f>
        <v>12</v>
      </c>
      <c r="G197" t="str">
        <f>IF(PK!H20&lt;&gt;"",PK!H20,"")</f>
        <v/>
      </c>
      <c r="H197" s="22">
        <f t="shared" si="12"/>
        <v>0</v>
      </c>
      <c r="I197" s="22">
        <f t="shared" si="11"/>
        <v>0</v>
      </c>
      <c r="J197" s="22">
        <f>ROUND(PK!I20,2)</f>
        <v>0</v>
      </c>
      <c r="K197" s="22">
        <f>ROUND(PK!J20,2)</f>
        <v>0</v>
      </c>
      <c r="L197" s="22">
        <f>ROUND(PK!K20,2)</f>
        <v>0</v>
      </c>
      <c r="M197" s="22">
        <f>ROUND(PK!L20,2)</f>
        <v>0</v>
      </c>
      <c r="N197" s="22">
        <f>ROUND(PK!M20,2)</f>
        <v>0</v>
      </c>
      <c r="O197" s="22">
        <f>ROUND(PK!N20,2)</f>
        <v>0</v>
      </c>
      <c r="P197" s="22">
        <f>ROUND(PK!O20,2)</f>
        <v>0</v>
      </c>
      <c r="Q197" s="22">
        <f>ROUND(PK!P20,2)</f>
        <v>0</v>
      </c>
      <c r="R197" s="22">
        <f>ROUND(PK!Q20,2)</f>
        <v>0</v>
      </c>
    </row>
    <row r="198" spans="4:18" x14ac:dyDescent="0.25">
      <c r="D198" t="s">
        <v>113</v>
      </c>
      <c r="E198">
        <v>6</v>
      </c>
      <c r="F198">
        <f>PK!G21</f>
        <v>13</v>
      </c>
      <c r="G198" t="str">
        <f>IF(PK!H21&lt;&gt;"",PK!H21,"")</f>
        <v/>
      </c>
      <c r="H198" s="22">
        <f t="shared" si="12"/>
        <v>0</v>
      </c>
      <c r="I198" s="22">
        <f t="shared" si="11"/>
        <v>0</v>
      </c>
      <c r="J198" s="22">
        <f>ROUND(PK!I21,2)</f>
        <v>0</v>
      </c>
      <c r="K198" s="22">
        <f>ROUND(PK!J21,2)</f>
        <v>0</v>
      </c>
      <c r="L198" s="22">
        <f>ROUND(PK!K21,2)</f>
        <v>0</v>
      </c>
      <c r="M198" s="22">
        <f>ROUND(PK!L21,2)</f>
        <v>0</v>
      </c>
      <c r="N198" s="22">
        <f>ROUND(PK!M21,2)</f>
        <v>0</v>
      </c>
      <c r="O198" s="22">
        <f>ROUND(PK!N21,2)</f>
        <v>0</v>
      </c>
      <c r="P198" s="22">
        <f>ROUND(PK!O21,2)</f>
        <v>0</v>
      </c>
      <c r="Q198" s="22">
        <f>ROUND(PK!P21,2)</f>
        <v>0</v>
      </c>
      <c r="R198" s="22">
        <f>ROUND(PK!Q21,2)</f>
        <v>0</v>
      </c>
    </row>
    <row r="199" spans="4:18" x14ac:dyDescent="0.25">
      <c r="D199" t="s">
        <v>113</v>
      </c>
      <c r="E199">
        <v>6</v>
      </c>
      <c r="F199">
        <f>PK!G22</f>
        <v>14</v>
      </c>
      <c r="G199" t="str">
        <f>IF(PK!H22&lt;&gt;"",PK!H22,"")</f>
        <v/>
      </c>
      <c r="H199" s="22">
        <f t="shared" si="12"/>
        <v>0</v>
      </c>
      <c r="I199" s="22">
        <f t="shared" si="11"/>
        <v>0</v>
      </c>
      <c r="J199" s="22">
        <f>ROUND(PK!I22,2)</f>
        <v>0</v>
      </c>
      <c r="K199" s="22">
        <f>ROUND(PK!J22,2)</f>
        <v>0</v>
      </c>
      <c r="L199" s="22">
        <f>ROUND(PK!K22,2)</f>
        <v>0</v>
      </c>
      <c r="M199" s="22">
        <f>ROUND(PK!L22,2)</f>
        <v>0</v>
      </c>
      <c r="N199" s="22">
        <f>ROUND(PK!M22,2)</f>
        <v>0</v>
      </c>
      <c r="O199" s="22">
        <f>ROUND(PK!N22,2)</f>
        <v>0</v>
      </c>
      <c r="P199" s="22">
        <f>ROUND(PK!O22,2)</f>
        <v>0</v>
      </c>
      <c r="Q199" s="22">
        <f>ROUND(PK!P22,2)</f>
        <v>0</v>
      </c>
      <c r="R199" s="22">
        <f>ROUND(PK!Q22,2)</f>
        <v>0</v>
      </c>
    </row>
    <row r="200" spans="4:18" x14ac:dyDescent="0.25">
      <c r="D200" t="s">
        <v>113</v>
      </c>
      <c r="E200">
        <v>6</v>
      </c>
      <c r="F200">
        <f>PK!G23</f>
        <v>15</v>
      </c>
      <c r="G200" t="str">
        <f>IF(PK!H23&lt;&gt;"",PK!H23,"")</f>
        <v/>
      </c>
      <c r="H200" s="22">
        <f t="shared" si="12"/>
        <v>0</v>
      </c>
      <c r="I200" s="22">
        <f t="shared" si="11"/>
        <v>0</v>
      </c>
      <c r="J200" s="22">
        <f>ROUND(PK!I23,2)</f>
        <v>0</v>
      </c>
      <c r="K200" s="22">
        <f>ROUND(PK!J23,2)</f>
        <v>0</v>
      </c>
      <c r="L200" s="22">
        <f>ROUND(PK!K23,2)</f>
        <v>0</v>
      </c>
      <c r="M200" s="22">
        <f>ROUND(PK!L23,2)</f>
        <v>0</v>
      </c>
      <c r="N200" s="22">
        <f>ROUND(PK!M23,2)</f>
        <v>0</v>
      </c>
      <c r="O200" s="22">
        <f>ROUND(PK!N23,2)</f>
        <v>0</v>
      </c>
      <c r="P200" s="22">
        <f>ROUND(PK!O23,2)</f>
        <v>0</v>
      </c>
      <c r="Q200" s="22">
        <f>ROUND(PK!P23,2)</f>
        <v>0</v>
      </c>
      <c r="R200" s="22">
        <f>ROUND(PK!Q23,2)</f>
        <v>0</v>
      </c>
    </row>
    <row r="201" spans="4:18" x14ac:dyDescent="0.25">
      <c r="D201" t="s">
        <v>113</v>
      </c>
      <c r="E201">
        <v>6</v>
      </c>
      <c r="F201">
        <f>PK!G24</f>
        <v>16</v>
      </c>
      <c r="G201" t="str">
        <f>IF(PK!H24&lt;&gt;"",PK!H24,"")</f>
        <v/>
      </c>
      <c r="H201" s="22">
        <f t="shared" si="12"/>
        <v>0</v>
      </c>
      <c r="I201" s="22">
        <f t="shared" si="11"/>
        <v>0</v>
      </c>
      <c r="J201" s="22">
        <f>ROUND(PK!I24,2)</f>
        <v>0</v>
      </c>
      <c r="K201" s="22">
        <f>ROUND(PK!J24,2)</f>
        <v>0</v>
      </c>
      <c r="L201" s="22">
        <f>ROUND(PK!K24,2)</f>
        <v>0</v>
      </c>
      <c r="M201" s="22">
        <f>ROUND(PK!L24,2)</f>
        <v>0</v>
      </c>
      <c r="N201" s="22">
        <f>ROUND(PK!M24,2)</f>
        <v>0</v>
      </c>
      <c r="O201" s="22">
        <f>ROUND(PK!N24,2)</f>
        <v>0</v>
      </c>
      <c r="P201" s="22">
        <f>ROUND(PK!O24,2)</f>
        <v>0</v>
      </c>
      <c r="Q201" s="22">
        <f>ROUND(PK!P24,2)</f>
        <v>0</v>
      </c>
      <c r="R201" s="22">
        <f>ROUND(PK!Q24,2)</f>
        <v>0</v>
      </c>
    </row>
    <row r="202" spans="4:18" x14ac:dyDescent="0.25">
      <c r="D202" t="s">
        <v>113</v>
      </c>
      <c r="E202">
        <v>6</v>
      </c>
      <c r="F202">
        <f>PK!G25</f>
        <v>17</v>
      </c>
      <c r="G202" t="str">
        <f>IF(PK!H25&lt;&gt;"",PK!H25,"")</f>
        <v/>
      </c>
      <c r="H202" s="22">
        <f t="shared" si="12"/>
        <v>0</v>
      </c>
      <c r="I202" s="22">
        <f t="shared" si="11"/>
        <v>0</v>
      </c>
      <c r="J202" s="22">
        <f>ROUND(PK!I25,2)</f>
        <v>0</v>
      </c>
      <c r="K202" s="22">
        <f>ROUND(PK!J25,2)</f>
        <v>0</v>
      </c>
      <c r="L202" s="22">
        <f>ROUND(PK!K25,2)</f>
        <v>0</v>
      </c>
      <c r="M202" s="22">
        <f>ROUND(PK!L25,2)</f>
        <v>0</v>
      </c>
      <c r="N202" s="22">
        <f>ROUND(PK!M25,2)</f>
        <v>0</v>
      </c>
      <c r="O202" s="22">
        <f>ROUND(PK!N25,2)</f>
        <v>0</v>
      </c>
      <c r="P202" s="22">
        <f>ROUND(PK!O25,2)</f>
        <v>0</v>
      </c>
      <c r="Q202" s="22">
        <f>ROUND(PK!P25,2)</f>
        <v>0</v>
      </c>
      <c r="R202" s="22">
        <f>ROUND(PK!Q25,2)</f>
        <v>0</v>
      </c>
    </row>
    <row r="203" spans="4:18" x14ac:dyDescent="0.25">
      <c r="D203" t="s">
        <v>113</v>
      </c>
      <c r="E203">
        <v>6</v>
      </c>
      <c r="F203">
        <f>PK!G26</f>
        <v>18</v>
      </c>
      <c r="G203" t="str">
        <f>IF(PK!H26&lt;&gt;"",PK!H26,"")</f>
        <v/>
      </c>
      <c r="H203" s="22">
        <f t="shared" si="12"/>
        <v>0</v>
      </c>
      <c r="I203" s="22">
        <f t="shared" si="11"/>
        <v>0</v>
      </c>
      <c r="J203" s="22">
        <f>ROUND(PK!I26,2)</f>
        <v>0</v>
      </c>
      <c r="K203" s="22">
        <f>ROUND(PK!J26,2)</f>
        <v>0</v>
      </c>
      <c r="L203" s="22">
        <f>ROUND(PK!K26,2)</f>
        <v>0</v>
      </c>
      <c r="M203" s="22">
        <f>ROUND(PK!L26,2)</f>
        <v>0</v>
      </c>
      <c r="N203" s="22">
        <f>ROUND(PK!M26,2)</f>
        <v>0</v>
      </c>
      <c r="O203" s="22">
        <f>ROUND(PK!N26,2)</f>
        <v>0</v>
      </c>
      <c r="P203" s="22">
        <f>ROUND(PK!O26,2)</f>
        <v>0</v>
      </c>
      <c r="Q203" s="22">
        <f>ROUND(PK!P26,2)</f>
        <v>0</v>
      </c>
      <c r="R203" s="22">
        <f>ROUND(PK!Q26,2)</f>
        <v>0</v>
      </c>
    </row>
    <row r="204" spans="4:18" x14ac:dyDescent="0.25">
      <c r="D204" t="s">
        <v>113</v>
      </c>
      <c r="E204">
        <v>6</v>
      </c>
      <c r="F204">
        <f>PK!G28</f>
        <v>19</v>
      </c>
      <c r="G204" t="str">
        <f>IF(PK!H28&lt;&gt;"",PK!H28,"")</f>
        <v/>
      </c>
      <c r="H204" s="22">
        <f t="shared" si="12"/>
        <v>0</v>
      </c>
      <c r="I204" s="22">
        <f t="shared" si="11"/>
        <v>0</v>
      </c>
      <c r="J204" s="22">
        <f>ROUND(PK!I28,2)</f>
        <v>0</v>
      </c>
      <c r="K204" s="22">
        <f>ROUND(PK!J28,2)</f>
        <v>0</v>
      </c>
      <c r="L204" s="22">
        <f>ROUND(PK!K28,2)</f>
        <v>0</v>
      </c>
      <c r="M204" s="22">
        <f>ROUND(PK!L28,2)</f>
        <v>0</v>
      </c>
      <c r="N204" s="22">
        <f>ROUND(PK!M28,2)</f>
        <v>0</v>
      </c>
      <c r="O204" s="22">
        <f>ROUND(PK!N28,2)</f>
        <v>0</v>
      </c>
      <c r="P204" s="22">
        <f>ROUND(PK!O28,2)</f>
        <v>0</v>
      </c>
      <c r="Q204" s="22">
        <f>ROUND(PK!P28,2)</f>
        <v>0</v>
      </c>
      <c r="R204" s="22">
        <f>ROUND(PK!Q28,2)</f>
        <v>0</v>
      </c>
    </row>
    <row r="205" spans="4:18" x14ac:dyDescent="0.25">
      <c r="D205" t="s">
        <v>113</v>
      </c>
      <c r="E205">
        <v>6</v>
      </c>
      <c r="F205">
        <f>PK!G29</f>
        <v>20</v>
      </c>
      <c r="G205" t="str">
        <f>IF(PK!H29&lt;&gt;"",PK!H29,"")</f>
        <v/>
      </c>
      <c r="H205" s="22">
        <f t="shared" si="12"/>
        <v>0</v>
      </c>
      <c r="I205" s="22">
        <f t="shared" si="11"/>
        <v>0</v>
      </c>
      <c r="J205" s="22">
        <f>ROUND(PK!I29,2)</f>
        <v>0</v>
      </c>
      <c r="K205" s="22">
        <f>ROUND(PK!J29,2)</f>
        <v>0</v>
      </c>
      <c r="L205" s="22">
        <f>ROUND(PK!K29,2)</f>
        <v>0</v>
      </c>
      <c r="M205" s="22">
        <f>ROUND(PK!L29,2)</f>
        <v>0</v>
      </c>
      <c r="N205" s="22">
        <f>ROUND(PK!M29,2)</f>
        <v>0</v>
      </c>
      <c r="O205" s="22">
        <f>ROUND(PK!N29,2)</f>
        <v>0</v>
      </c>
      <c r="P205" s="22">
        <f>ROUND(PK!O29,2)</f>
        <v>0</v>
      </c>
      <c r="Q205" s="22">
        <f>ROUND(PK!P29,2)</f>
        <v>0</v>
      </c>
      <c r="R205" s="22">
        <f>ROUND(PK!Q29,2)</f>
        <v>0</v>
      </c>
    </row>
    <row r="206" spans="4:18" x14ac:dyDescent="0.25">
      <c r="D206" t="s">
        <v>113</v>
      </c>
      <c r="E206">
        <v>6</v>
      </c>
      <c r="F206">
        <f>PK!G30</f>
        <v>21</v>
      </c>
      <c r="G206" t="str">
        <f>IF(PK!H30&lt;&gt;"",PK!H30,"")</f>
        <v/>
      </c>
      <c r="H206" s="22">
        <f t="shared" si="12"/>
        <v>0</v>
      </c>
      <c r="I206" s="22">
        <f t="shared" si="11"/>
        <v>0</v>
      </c>
      <c r="J206" s="22">
        <f>ROUND(PK!I30,2)</f>
        <v>0</v>
      </c>
      <c r="K206" s="22">
        <f>ROUND(PK!J30,2)</f>
        <v>0</v>
      </c>
      <c r="L206" s="22">
        <f>ROUND(PK!K30,2)</f>
        <v>0</v>
      </c>
      <c r="M206" s="22">
        <f>ROUND(PK!L30,2)</f>
        <v>0</v>
      </c>
      <c r="N206" s="22">
        <f>ROUND(PK!M30,2)</f>
        <v>0</v>
      </c>
      <c r="O206" s="22">
        <f>ROUND(PK!N30,2)</f>
        <v>0</v>
      </c>
      <c r="P206" s="22">
        <f>ROUND(PK!O30,2)</f>
        <v>0</v>
      </c>
      <c r="Q206" s="22">
        <f>ROUND(PK!P30,2)</f>
        <v>0</v>
      </c>
      <c r="R206" s="22">
        <f>ROUND(PK!Q30,2)</f>
        <v>0</v>
      </c>
    </row>
    <row r="207" spans="4:18" x14ac:dyDescent="0.25">
      <c r="D207" t="s">
        <v>113</v>
      </c>
      <c r="E207">
        <v>6</v>
      </c>
      <c r="F207">
        <f>PK!G31</f>
        <v>22</v>
      </c>
      <c r="G207" t="str">
        <f>IF(PK!H31&lt;&gt;"",PK!H31,"")</f>
        <v/>
      </c>
      <c r="H207" s="22">
        <f t="shared" si="12"/>
        <v>0</v>
      </c>
      <c r="I207" s="22">
        <f t="shared" si="11"/>
        <v>0</v>
      </c>
      <c r="J207" s="22">
        <f>ROUND(PK!I31,2)</f>
        <v>0</v>
      </c>
      <c r="K207" s="22">
        <f>ROUND(PK!J31,2)</f>
        <v>0</v>
      </c>
      <c r="L207" s="22">
        <f>ROUND(PK!K31,2)</f>
        <v>0</v>
      </c>
      <c r="M207" s="22">
        <f>ROUND(PK!L31,2)</f>
        <v>0</v>
      </c>
      <c r="N207" s="22">
        <f>ROUND(PK!M31,2)</f>
        <v>0</v>
      </c>
      <c r="O207" s="22">
        <f>ROUND(PK!N31,2)</f>
        <v>0</v>
      </c>
      <c r="P207" s="22">
        <f>ROUND(PK!O31,2)</f>
        <v>0</v>
      </c>
      <c r="Q207" s="22">
        <f>ROUND(PK!P31,2)</f>
        <v>0</v>
      </c>
      <c r="R207" s="22">
        <f>ROUND(PK!Q31,2)</f>
        <v>0</v>
      </c>
    </row>
    <row r="208" spans="4:18" x14ac:dyDescent="0.25">
      <c r="D208" t="s">
        <v>113</v>
      </c>
      <c r="E208">
        <v>6</v>
      </c>
      <c r="F208">
        <f>PK!G32</f>
        <v>23</v>
      </c>
      <c r="G208" t="str">
        <f>IF(PK!H32&lt;&gt;"",PK!H32,"")</f>
        <v/>
      </c>
      <c r="H208" s="22">
        <f t="shared" si="12"/>
        <v>0</v>
      </c>
      <c r="I208" s="22">
        <f t="shared" si="11"/>
        <v>0</v>
      </c>
      <c r="J208" s="22">
        <f>ROUND(PK!I32,2)</f>
        <v>0</v>
      </c>
      <c r="K208" s="22">
        <f>ROUND(PK!J32,2)</f>
        <v>0</v>
      </c>
      <c r="L208" s="22">
        <f>ROUND(PK!K32,2)</f>
        <v>0</v>
      </c>
      <c r="M208" s="22">
        <f>ROUND(PK!L32,2)</f>
        <v>0</v>
      </c>
      <c r="N208" s="22">
        <f>ROUND(PK!M32,2)</f>
        <v>0</v>
      </c>
      <c r="O208" s="22">
        <f>ROUND(PK!N32,2)</f>
        <v>0</v>
      </c>
      <c r="P208" s="22">
        <f>ROUND(PK!O32,2)</f>
        <v>0</v>
      </c>
      <c r="Q208" s="22">
        <f>ROUND(PK!P32,2)</f>
        <v>0</v>
      </c>
      <c r="R208" s="22">
        <f>ROUND(PK!Q32,2)</f>
        <v>0</v>
      </c>
    </row>
    <row r="209" spans="4:18" x14ac:dyDescent="0.25">
      <c r="D209" t="s">
        <v>113</v>
      </c>
      <c r="E209">
        <v>6</v>
      </c>
      <c r="F209">
        <f>PK!G33</f>
        <v>24</v>
      </c>
      <c r="G209" t="str">
        <f>IF(PK!H33&lt;&gt;"",PK!H33,"")</f>
        <v/>
      </c>
      <c r="H209" s="22">
        <f t="shared" si="12"/>
        <v>0</v>
      </c>
      <c r="I209" s="22">
        <f t="shared" si="11"/>
        <v>0</v>
      </c>
      <c r="J209" s="22">
        <f>ROUND(PK!I33,2)</f>
        <v>0</v>
      </c>
      <c r="K209" s="22">
        <f>ROUND(PK!J33,2)</f>
        <v>0</v>
      </c>
      <c r="L209" s="22">
        <f>ROUND(PK!K33,2)</f>
        <v>0</v>
      </c>
      <c r="M209" s="22">
        <f>ROUND(PK!L33,2)</f>
        <v>0</v>
      </c>
      <c r="N209" s="22">
        <f>ROUND(PK!M33,2)</f>
        <v>0</v>
      </c>
      <c r="O209" s="22">
        <f>ROUND(PK!N33,2)</f>
        <v>0</v>
      </c>
      <c r="P209" s="22">
        <f>ROUND(PK!O33,2)</f>
        <v>0</v>
      </c>
      <c r="Q209" s="22">
        <f>ROUND(PK!P33,2)</f>
        <v>0</v>
      </c>
      <c r="R209" s="22">
        <f>ROUND(PK!Q33,2)</f>
        <v>0</v>
      </c>
    </row>
    <row r="210" spans="4:18" x14ac:dyDescent="0.25">
      <c r="D210" t="s">
        <v>113</v>
      </c>
      <c r="E210">
        <v>6</v>
      </c>
      <c r="F210">
        <f>PK!G34</f>
        <v>25</v>
      </c>
      <c r="G210" t="str">
        <f>IF(PK!H34&lt;&gt;"",PK!H34,"")</f>
        <v/>
      </c>
      <c r="H210" s="22">
        <f t="shared" si="12"/>
        <v>0</v>
      </c>
      <c r="I210" s="22">
        <f t="shared" si="11"/>
        <v>0</v>
      </c>
      <c r="J210" s="22">
        <f>ROUND(PK!I34,2)</f>
        <v>0</v>
      </c>
      <c r="K210" s="22">
        <f>ROUND(PK!J34,2)</f>
        <v>0</v>
      </c>
      <c r="L210" s="22">
        <f>ROUND(PK!K34,2)</f>
        <v>0</v>
      </c>
      <c r="M210" s="22">
        <f>ROUND(PK!L34,2)</f>
        <v>0</v>
      </c>
      <c r="N210" s="22">
        <f>ROUND(PK!M34,2)</f>
        <v>0</v>
      </c>
      <c r="O210" s="22">
        <f>ROUND(PK!N34,2)</f>
        <v>0</v>
      </c>
      <c r="P210" s="22">
        <f>ROUND(PK!O34,2)</f>
        <v>0</v>
      </c>
      <c r="Q210" s="22">
        <f>ROUND(PK!P34,2)</f>
        <v>0</v>
      </c>
      <c r="R210" s="22">
        <f>ROUND(PK!Q34,2)</f>
        <v>0</v>
      </c>
    </row>
    <row r="211" spans="4:18" x14ac:dyDescent="0.25">
      <c r="D211" t="s">
        <v>113</v>
      </c>
      <c r="E211">
        <v>6</v>
      </c>
      <c r="F211">
        <f>PK!G35</f>
        <v>26</v>
      </c>
      <c r="G211" t="str">
        <f>IF(PK!H35&lt;&gt;"",PK!H35,"")</f>
        <v/>
      </c>
      <c r="H211" s="22">
        <f t="shared" si="12"/>
        <v>0</v>
      </c>
      <c r="I211" s="22">
        <f t="shared" si="11"/>
        <v>0</v>
      </c>
      <c r="J211" s="22">
        <f>ROUND(PK!I35,2)</f>
        <v>0</v>
      </c>
      <c r="K211" s="22">
        <f>ROUND(PK!J35,2)</f>
        <v>0</v>
      </c>
      <c r="L211" s="22">
        <f>ROUND(PK!K35,2)</f>
        <v>0</v>
      </c>
      <c r="M211" s="22">
        <f>ROUND(PK!L35,2)</f>
        <v>0</v>
      </c>
      <c r="N211" s="22">
        <f>ROUND(PK!M35,2)</f>
        <v>0</v>
      </c>
      <c r="O211" s="22">
        <f>ROUND(PK!N35,2)</f>
        <v>0</v>
      </c>
      <c r="P211" s="22">
        <f>ROUND(PK!O35,2)</f>
        <v>0</v>
      </c>
      <c r="Q211" s="22">
        <f>ROUND(PK!P35,2)</f>
        <v>0</v>
      </c>
      <c r="R211" s="22">
        <f>ROUND(PK!Q35,2)</f>
        <v>0</v>
      </c>
    </row>
    <row r="212" spans="4:18" x14ac:dyDescent="0.25">
      <c r="D212" t="s">
        <v>113</v>
      </c>
      <c r="E212">
        <v>6</v>
      </c>
      <c r="F212">
        <f>PK!G36</f>
        <v>27</v>
      </c>
      <c r="G212" t="str">
        <f>IF(PK!H36&lt;&gt;"",PK!H36,"")</f>
        <v/>
      </c>
      <c r="H212" s="22">
        <f t="shared" si="12"/>
        <v>0</v>
      </c>
      <c r="I212" s="22">
        <f t="shared" si="11"/>
        <v>0</v>
      </c>
      <c r="J212" s="22">
        <f>ROUND(PK!I36,2)</f>
        <v>0</v>
      </c>
      <c r="K212" s="22">
        <f>ROUND(PK!J36,2)</f>
        <v>0</v>
      </c>
      <c r="L212" s="22">
        <f>ROUND(PK!K36,2)</f>
        <v>0</v>
      </c>
      <c r="M212" s="22">
        <f>ROUND(PK!L36,2)</f>
        <v>0</v>
      </c>
      <c r="N212" s="22">
        <f>ROUND(PK!M36,2)</f>
        <v>0</v>
      </c>
      <c r="O212" s="22">
        <f>ROUND(PK!N36,2)</f>
        <v>0</v>
      </c>
      <c r="P212" s="22">
        <f>ROUND(PK!O36,2)</f>
        <v>0</v>
      </c>
      <c r="Q212" s="22">
        <f>ROUND(PK!P36,2)</f>
        <v>0</v>
      </c>
      <c r="R212" s="22">
        <f>ROUND(PK!Q36,2)</f>
        <v>0</v>
      </c>
    </row>
    <row r="213" spans="4:18" x14ac:dyDescent="0.25">
      <c r="D213" t="s">
        <v>113</v>
      </c>
      <c r="E213">
        <v>6</v>
      </c>
      <c r="F213">
        <f>PK!G37</f>
        <v>28</v>
      </c>
      <c r="G213" t="str">
        <f>IF(PK!H37&lt;&gt;"",PK!H37,"")</f>
        <v/>
      </c>
      <c r="H213" s="22">
        <f t="shared" si="12"/>
        <v>0</v>
      </c>
      <c r="I213" s="22">
        <f t="shared" si="11"/>
        <v>0</v>
      </c>
      <c r="J213" s="22">
        <f>ROUND(PK!I37,2)</f>
        <v>0</v>
      </c>
      <c r="K213" s="22">
        <f>ROUND(PK!J37,2)</f>
        <v>0</v>
      </c>
      <c r="L213" s="22">
        <f>ROUND(PK!K37,2)</f>
        <v>0</v>
      </c>
      <c r="M213" s="22">
        <f>ROUND(PK!L37,2)</f>
        <v>0</v>
      </c>
      <c r="N213" s="22">
        <f>ROUND(PK!M37,2)</f>
        <v>0</v>
      </c>
      <c r="O213" s="22">
        <f>ROUND(PK!N37,2)</f>
        <v>0</v>
      </c>
      <c r="P213" s="22">
        <f>ROUND(PK!O37,2)</f>
        <v>0</v>
      </c>
      <c r="Q213" s="22">
        <f>ROUND(PK!P37,2)</f>
        <v>0</v>
      </c>
      <c r="R213" s="22">
        <f>ROUND(PK!Q37,2)</f>
        <v>0</v>
      </c>
    </row>
    <row r="214" spans="4:18" x14ac:dyDescent="0.25">
      <c r="D214" t="s">
        <v>113</v>
      </c>
      <c r="E214">
        <v>6</v>
      </c>
      <c r="F214">
        <f>PK!G38</f>
        <v>29</v>
      </c>
      <c r="G214" t="str">
        <f>IF(PK!H38&lt;&gt;"",PK!H38,"")</f>
        <v/>
      </c>
      <c r="H214" s="22">
        <f t="shared" si="12"/>
        <v>0</v>
      </c>
      <c r="I214" s="22">
        <f t="shared" si="11"/>
        <v>0</v>
      </c>
      <c r="J214" s="22">
        <f>ROUND(PK!I38,2)</f>
        <v>0</v>
      </c>
      <c r="K214" s="22">
        <f>ROUND(PK!J38,2)</f>
        <v>0</v>
      </c>
      <c r="L214" s="22">
        <f>ROUND(PK!K38,2)</f>
        <v>0</v>
      </c>
      <c r="M214" s="22">
        <f>ROUND(PK!L38,2)</f>
        <v>0</v>
      </c>
      <c r="N214" s="22">
        <f>ROUND(PK!M38,2)</f>
        <v>0</v>
      </c>
      <c r="O214" s="22">
        <f>ROUND(PK!N38,2)</f>
        <v>0</v>
      </c>
      <c r="P214" s="22">
        <f>ROUND(PK!O38,2)</f>
        <v>0</v>
      </c>
      <c r="Q214" s="22">
        <f>ROUND(PK!P38,2)</f>
        <v>0</v>
      </c>
      <c r="R214" s="22">
        <f>ROUND(PK!Q38,2)</f>
        <v>0</v>
      </c>
    </row>
    <row r="215" spans="4:18" x14ac:dyDescent="0.25">
      <c r="D215" t="s">
        <v>113</v>
      </c>
      <c r="E215">
        <v>6</v>
      </c>
      <c r="F215">
        <f>PK!G39</f>
        <v>30</v>
      </c>
      <c r="G215" t="str">
        <f>IF(PK!H39&lt;&gt;"",PK!H39,"")</f>
        <v/>
      </c>
      <c r="H215" s="22">
        <f t="shared" si="12"/>
        <v>0</v>
      </c>
      <c r="I215" s="22">
        <f t="shared" si="11"/>
        <v>0</v>
      </c>
      <c r="J215" s="22">
        <f>ROUND(PK!I39,2)</f>
        <v>0</v>
      </c>
      <c r="K215" s="22">
        <f>ROUND(PK!J39,2)</f>
        <v>0</v>
      </c>
      <c r="L215" s="22">
        <f>ROUND(PK!K39,2)</f>
        <v>0</v>
      </c>
      <c r="M215" s="22">
        <f>ROUND(PK!L39,2)</f>
        <v>0</v>
      </c>
      <c r="N215" s="22">
        <f>ROUND(PK!M39,2)</f>
        <v>0</v>
      </c>
      <c r="O215" s="22">
        <f>ROUND(PK!N39,2)</f>
        <v>0</v>
      </c>
      <c r="P215" s="22">
        <f>ROUND(PK!O39,2)</f>
        <v>0</v>
      </c>
      <c r="Q215" s="22">
        <f>ROUND(PK!P39,2)</f>
        <v>0</v>
      </c>
      <c r="R215" s="22">
        <f>ROUND(PK!Q39,2)</f>
        <v>0</v>
      </c>
    </row>
    <row r="216" spans="4:18" x14ac:dyDescent="0.25">
      <c r="D216" t="s">
        <v>113</v>
      </c>
      <c r="E216">
        <v>6</v>
      </c>
      <c r="F216">
        <f>PK!G40</f>
        <v>31</v>
      </c>
      <c r="G216" t="str">
        <f>IF(PK!H40&lt;&gt;"",PK!H40,"")</f>
        <v/>
      </c>
      <c r="H216" s="22">
        <f t="shared" si="12"/>
        <v>0</v>
      </c>
      <c r="I216" s="22">
        <f t="shared" si="11"/>
        <v>0</v>
      </c>
      <c r="J216" s="22">
        <f>ROUND(PK!I40,2)</f>
        <v>0</v>
      </c>
      <c r="K216" s="22">
        <f>ROUND(PK!J40,2)</f>
        <v>0</v>
      </c>
      <c r="L216" s="22">
        <f>ROUND(PK!K40,2)</f>
        <v>0</v>
      </c>
      <c r="M216" s="22">
        <f>ROUND(PK!L40,2)</f>
        <v>0</v>
      </c>
      <c r="N216" s="22">
        <f>ROUND(PK!M40,2)</f>
        <v>0</v>
      </c>
      <c r="O216" s="22">
        <f>ROUND(PK!N40,2)</f>
        <v>0</v>
      </c>
      <c r="P216" s="22">
        <f>ROUND(PK!O40,2)</f>
        <v>0</v>
      </c>
      <c r="Q216" s="22">
        <f>ROUND(PK!P40,2)</f>
        <v>0</v>
      </c>
      <c r="R216" s="22">
        <f>ROUND(PK!Q40,2)</f>
        <v>0</v>
      </c>
    </row>
    <row r="217" spans="4:18" x14ac:dyDescent="0.25">
      <c r="D217" t="s">
        <v>113</v>
      </c>
      <c r="E217">
        <v>6</v>
      </c>
      <c r="F217">
        <f>PK!G41</f>
        <v>32</v>
      </c>
      <c r="G217" t="str">
        <f>IF(PK!H41&lt;&gt;"",PK!H41,"")</f>
        <v/>
      </c>
      <c r="H217" s="22">
        <f t="shared" si="12"/>
        <v>0</v>
      </c>
      <c r="I217" s="22">
        <f t="shared" si="11"/>
        <v>0</v>
      </c>
      <c r="J217" s="22">
        <f>ROUND(PK!I41,2)</f>
        <v>0</v>
      </c>
      <c r="K217" s="22">
        <f>ROUND(PK!J41,2)</f>
        <v>0</v>
      </c>
      <c r="L217" s="22">
        <f>ROUND(PK!K41,2)</f>
        <v>0</v>
      </c>
      <c r="M217" s="22">
        <f>ROUND(PK!L41,2)</f>
        <v>0</v>
      </c>
      <c r="N217" s="22">
        <f>ROUND(PK!M41,2)</f>
        <v>0</v>
      </c>
      <c r="O217" s="22">
        <f>ROUND(PK!N41,2)</f>
        <v>0</v>
      </c>
      <c r="P217" s="22">
        <f>ROUND(PK!O41,2)</f>
        <v>0</v>
      </c>
      <c r="Q217" s="22">
        <f>ROUND(PK!P41,2)</f>
        <v>0</v>
      </c>
      <c r="R217" s="22">
        <f>ROUND(PK!Q41,2)</f>
        <v>0</v>
      </c>
    </row>
    <row r="218" spans="4:18" x14ac:dyDescent="0.25">
      <c r="D218" t="s">
        <v>113</v>
      </c>
      <c r="E218">
        <v>6</v>
      </c>
      <c r="F218">
        <f>PK!G42</f>
        <v>33</v>
      </c>
      <c r="G218" t="str">
        <f>IF(PK!H42&lt;&gt;"",PK!H42,"")</f>
        <v/>
      </c>
      <c r="H218" s="22">
        <f t="shared" si="12"/>
        <v>0</v>
      </c>
      <c r="I218" s="22">
        <f t="shared" si="11"/>
        <v>0</v>
      </c>
      <c r="J218" s="22">
        <f>ROUND(PK!I42,2)</f>
        <v>0</v>
      </c>
      <c r="K218" s="22">
        <f>ROUND(PK!J42,2)</f>
        <v>0</v>
      </c>
      <c r="L218" s="22">
        <f>ROUND(PK!K42,2)</f>
        <v>0</v>
      </c>
      <c r="M218" s="22">
        <f>ROUND(PK!L42,2)</f>
        <v>0</v>
      </c>
      <c r="N218" s="22">
        <f>ROUND(PK!M42,2)</f>
        <v>0</v>
      </c>
      <c r="O218" s="22">
        <f>ROUND(PK!N42,2)</f>
        <v>0</v>
      </c>
      <c r="P218" s="22">
        <f>ROUND(PK!O42,2)</f>
        <v>0</v>
      </c>
      <c r="Q218" s="22">
        <f>ROUND(PK!P42,2)</f>
        <v>0</v>
      </c>
      <c r="R218" s="22">
        <f>ROUND(PK!Q42,2)</f>
        <v>0</v>
      </c>
    </row>
    <row r="219" spans="4:18" x14ac:dyDescent="0.25">
      <c r="D219" t="s">
        <v>113</v>
      </c>
      <c r="E219">
        <v>6</v>
      </c>
      <c r="F219">
        <f>PK!G43</f>
        <v>34</v>
      </c>
      <c r="G219" t="str">
        <f>IF(PK!H43&lt;&gt;"",PK!H43,"")</f>
        <v/>
      </c>
      <c r="H219" s="22">
        <f t="shared" si="12"/>
        <v>0</v>
      </c>
      <c r="I219" s="22">
        <f t="shared" si="11"/>
        <v>0</v>
      </c>
      <c r="J219" s="22">
        <f>ROUND(PK!I43,2)</f>
        <v>0</v>
      </c>
      <c r="K219" s="22">
        <f>ROUND(PK!J43,2)</f>
        <v>0</v>
      </c>
      <c r="L219" s="22">
        <f>ROUND(PK!K43,2)</f>
        <v>0</v>
      </c>
      <c r="M219" s="22">
        <f>ROUND(PK!L43,2)</f>
        <v>0</v>
      </c>
      <c r="N219" s="22">
        <f>ROUND(PK!M43,2)</f>
        <v>0</v>
      </c>
      <c r="O219" s="22">
        <f>ROUND(PK!N43,2)</f>
        <v>0</v>
      </c>
      <c r="P219" s="22">
        <f>ROUND(PK!O43,2)</f>
        <v>0</v>
      </c>
      <c r="Q219" s="22">
        <f>ROUND(PK!P43,2)</f>
        <v>0</v>
      </c>
      <c r="R219" s="22">
        <f>ROUND(PK!Q43,2)</f>
        <v>0</v>
      </c>
    </row>
    <row r="220" spans="4:18" x14ac:dyDescent="0.25">
      <c r="D220" t="s">
        <v>113</v>
      </c>
      <c r="E220">
        <v>6</v>
      </c>
      <c r="F220">
        <f>PK!G44</f>
        <v>35</v>
      </c>
      <c r="G220" t="str">
        <f>IF(PK!H44&lt;&gt;"",PK!H44,"")</f>
        <v/>
      </c>
      <c r="H220" s="22">
        <f t="shared" si="12"/>
        <v>0</v>
      </c>
      <c r="I220" s="22">
        <f t="shared" si="11"/>
        <v>0</v>
      </c>
      <c r="J220" s="22">
        <f>ROUND(PK!I44,2)</f>
        <v>0</v>
      </c>
      <c r="K220" s="22">
        <f>ROUND(PK!J44,2)</f>
        <v>0</v>
      </c>
      <c r="L220" s="22">
        <f>ROUND(PK!K44,2)</f>
        <v>0</v>
      </c>
      <c r="M220" s="22">
        <f>ROUND(PK!L44,2)</f>
        <v>0</v>
      </c>
      <c r="N220" s="22">
        <f>ROUND(PK!M44,2)</f>
        <v>0</v>
      </c>
      <c r="O220" s="22">
        <f>ROUND(PK!N44,2)</f>
        <v>0</v>
      </c>
      <c r="P220" s="22">
        <f>ROUND(PK!O44,2)</f>
        <v>0</v>
      </c>
      <c r="Q220" s="22">
        <f>ROUND(PK!P44,2)</f>
        <v>0</v>
      </c>
      <c r="R220" s="22">
        <f>ROUND(PK!Q44,2)</f>
        <v>0</v>
      </c>
    </row>
    <row r="221" spans="4:18" x14ac:dyDescent="0.25">
      <c r="D221" t="s">
        <v>113</v>
      </c>
      <c r="E221">
        <v>6</v>
      </c>
      <c r="F221">
        <f>PK!G45</f>
        <v>36</v>
      </c>
      <c r="G221" t="str">
        <f>IF(PK!H45&lt;&gt;"",PK!H45,"")</f>
        <v/>
      </c>
      <c r="H221" s="22">
        <f t="shared" si="12"/>
        <v>0</v>
      </c>
      <c r="I221" s="22">
        <f t="shared" si="11"/>
        <v>0</v>
      </c>
      <c r="J221" s="22">
        <f>ROUND(PK!I45,2)</f>
        <v>0</v>
      </c>
      <c r="K221" s="22">
        <f>ROUND(PK!J45,2)</f>
        <v>0</v>
      </c>
      <c r="L221" s="22">
        <f>ROUND(PK!K45,2)</f>
        <v>0</v>
      </c>
      <c r="M221" s="22">
        <f>ROUND(PK!L45,2)</f>
        <v>0</v>
      </c>
      <c r="N221" s="22">
        <f>ROUND(PK!M45,2)</f>
        <v>0</v>
      </c>
      <c r="O221" s="22">
        <f>ROUND(PK!N45,2)</f>
        <v>0</v>
      </c>
      <c r="P221" s="22">
        <f>ROUND(PK!O45,2)</f>
        <v>0</v>
      </c>
      <c r="Q221" s="22">
        <f>ROUND(PK!P45,2)</f>
        <v>0</v>
      </c>
      <c r="R221" s="22">
        <f>ROUND(PK!Q45,2)</f>
        <v>0</v>
      </c>
    </row>
  </sheetData>
  <sheetProtection password="C79A" sheet="1" objects="1" scenarios="1"/>
  <phoneticPr fontId="3" type="noConversion"/>
  <conditionalFormatting sqref="F2:G185">
    <cfRule type="cellIs" dxfId="29"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BI153"/>
  <sheetViews>
    <sheetView showGridLines="0" showRowColHeaders="0" topLeftCell="A2" workbookViewId="0">
      <selection activeCell="A2" sqref="A2"/>
    </sheetView>
  </sheetViews>
  <sheetFormatPr defaultColWidth="0" defaultRowHeight="10.199999999999999" zeroHeight="1" x14ac:dyDescent="0.25"/>
  <cols>
    <col min="1" max="1" width="6.6640625" style="3" customWidth="1"/>
    <col min="2" max="2" width="8.6640625" style="3" customWidth="1"/>
    <col min="3" max="5" width="10.6640625" style="3" customWidth="1"/>
    <col min="6" max="8" width="11.6640625" style="3" customWidth="1"/>
    <col min="9" max="9" width="15.6640625" style="3" customWidth="1"/>
    <col min="10" max="10" width="7.6640625" style="3" customWidth="1"/>
    <col min="11" max="11" width="0.88671875" style="3" customWidth="1"/>
    <col min="12" max="16384" width="9.109375" style="3" hidden="1"/>
  </cols>
  <sheetData>
    <row r="1" spans="1:29" hidden="1" x14ac:dyDescent="0.25">
      <c r="O1" s="95" t="s">
        <v>2572</v>
      </c>
      <c r="P1" s="95" t="s">
        <v>2573</v>
      </c>
      <c r="Q1" s="95" t="s">
        <v>2574</v>
      </c>
      <c r="R1" s="95" t="s">
        <v>2575</v>
      </c>
      <c r="S1" s="95" t="s">
        <v>2576</v>
      </c>
      <c r="T1" s="95" t="s">
        <v>2575</v>
      </c>
      <c r="U1" s="95" t="s">
        <v>2576</v>
      </c>
      <c r="V1" s="95" t="s">
        <v>2575</v>
      </c>
      <c r="W1" s="95" t="s">
        <v>2576</v>
      </c>
      <c r="X1" s="95" t="s">
        <v>2575</v>
      </c>
      <c r="Y1" s="95" t="s">
        <v>2576</v>
      </c>
      <c r="Z1" s="95" t="s">
        <v>2575</v>
      </c>
      <c r="AA1" s="95" t="s">
        <v>2576</v>
      </c>
    </row>
    <row r="2" spans="1:29" ht="15.9" customHeight="1" x14ac:dyDescent="0.25">
      <c r="A2" s="93" t="s">
        <v>114</v>
      </c>
      <c r="B2" s="50" t="s">
        <v>115</v>
      </c>
      <c r="C2" s="50" t="s">
        <v>116</v>
      </c>
      <c r="D2" s="50" t="s">
        <v>117</v>
      </c>
      <c r="E2" s="50" t="s">
        <v>96</v>
      </c>
      <c r="F2" s="50" t="s">
        <v>118</v>
      </c>
      <c r="G2" s="50" t="s">
        <v>119</v>
      </c>
      <c r="H2" s="50" t="s">
        <v>120</v>
      </c>
      <c r="I2" s="50" t="s">
        <v>113</v>
      </c>
      <c r="J2" s="51" t="s">
        <v>121</v>
      </c>
      <c r="L2" s="95" t="s">
        <v>2577</v>
      </c>
      <c r="M2" s="95" t="s">
        <v>2578</v>
      </c>
      <c r="N2" s="138" t="s">
        <v>31</v>
      </c>
      <c r="O2" s="139">
        <f>Bilanca!Q1</f>
        <v>0</v>
      </c>
      <c r="P2" s="140">
        <f>Bilanca!Q2</f>
        <v>0</v>
      </c>
      <c r="Q2" s="153">
        <f>Bilanca!Q3</f>
        <v>0</v>
      </c>
      <c r="R2" s="139" t="s">
        <v>145</v>
      </c>
      <c r="S2" s="153">
        <f>IF(RefStr!C17&lt;&gt;"",IF(ISERROR(INT(RefStr!C17)),0,RefStr!C17),0)</f>
        <v>0</v>
      </c>
      <c r="T2" s="139" t="s">
        <v>2579</v>
      </c>
      <c r="U2" s="153">
        <f>RefStr!I21</f>
        <v>0</v>
      </c>
      <c r="V2" s="139" t="s">
        <v>40</v>
      </c>
      <c r="W2" s="153">
        <f>RefStr!C29</f>
        <v>0</v>
      </c>
      <c r="X2" s="139" t="s">
        <v>2580</v>
      </c>
      <c r="Y2" s="153" t="str">
        <f>IF(RefStr!C54&lt;&gt;"",RefStr!C54,"")</f>
        <v/>
      </c>
      <c r="Z2" s="139" t="s">
        <v>2581</v>
      </c>
      <c r="AA2" s="153" t="str">
        <f>IF(RefStr!B64="","",RefStr!B64)</f>
        <v/>
      </c>
      <c r="AB2" s="139" t="s">
        <v>2582</v>
      </c>
      <c r="AC2" s="153">
        <f>IF(YEAR(RefStr!F4)&gt;2022,0.14,1)</f>
        <v>1</v>
      </c>
    </row>
    <row r="3" spans="1:29" ht="14.1" customHeight="1" x14ac:dyDescent="0.25">
      <c r="A3" s="465" t="s">
        <v>2583</v>
      </c>
      <c r="B3" s="466"/>
      <c r="C3" s="466"/>
      <c r="D3" s="466"/>
      <c r="E3" s="466"/>
      <c r="F3" s="466"/>
      <c r="G3" s="466"/>
      <c r="H3" s="466"/>
      <c r="I3" s="473"/>
      <c r="J3" s="474"/>
      <c r="L3" s="95"/>
      <c r="M3" s="95"/>
      <c r="N3" s="138" t="s">
        <v>96</v>
      </c>
      <c r="O3" s="141">
        <f>RDG!Q1</f>
        <v>0</v>
      </c>
      <c r="P3" s="142">
        <f>RDG!Q2</f>
        <v>0</v>
      </c>
      <c r="Q3" s="154">
        <f>RDG!Q3</f>
        <v>0</v>
      </c>
      <c r="R3" s="141" t="s">
        <v>177</v>
      </c>
      <c r="S3" s="154">
        <f>IF(RefStr!C50&lt;&gt;"",IF(ISERROR(INT(RefStr!C50)),0,RefStr!C50),0)</f>
        <v>4</v>
      </c>
      <c r="T3" s="141" t="s">
        <v>98</v>
      </c>
      <c r="U3" s="154">
        <f>RefStr!L21</f>
        <v>0</v>
      </c>
      <c r="V3" s="141" t="s">
        <v>41</v>
      </c>
      <c r="W3" s="154">
        <f>RefStr!C31</f>
        <v>0</v>
      </c>
      <c r="X3" s="141" t="s">
        <v>2584</v>
      </c>
      <c r="Y3" s="154" t="str">
        <f>IF(RefStr!F54&lt;&gt;"",RefStr!F54,"")</f>
        <v/>
      </c>
      <c r="Z3" s="141" t="s">
        <v>2585</v>
      </c>
      <c r="AA3" s="154" t="str">
        <f>IF(RefStr!B66="","",RefStr!B66)</f>
        <v/>
      </c>
      <c r="AB3" s="3" t="s">
        <v>2586</v>
      </c>
      <c r="AC3" s="212" t="str">
        <f>Skriveni!B71</f>
        <v>HRK</v>
      </c>
    </row>
    <row r="4" spans="1:29" ht="14.1" customHeight="1" x14ac:dyDescent="0.25">
      <c r="A4" s="467"/>
      <c r="B4" s="468"/>
      <c r="C4" s="468"/>
      <c r="D4" s="468"/>
      <c r="E4" s="468"/>
      <c r="F4" s="468"/>
      <c r="G4" s="468"/>
      <c r="H4" s="468"/>
      <c r="I4" s="148" t="s">
        <v>2587</v>
      </c>
      <c r="J4" s="149">
        <f ca="1">SUM(L12:L56)</f>
        <v>22</v>
      </c>
      <c r="N4" s="138" t="s">
        <v>110</v>
      </c>
      <c r="O4" s="141">
        <f>Dodatni!Q1</f>
        <v>0</v>
      </c>
      <c r="P4" s="142">
        <f>Dodatni!Q2</f>
        <v>0</v>
      </c>
      <c r="Q4" s="154">
        <f>Dodatni!Q3</f>
        <v>0</v>
      </c>
      <c r="R4" s="141" t="s">
        <v>53</v>
      </c>
      <c r="S4" s="154">
        <f>IF(RefStr!C52&lt;&gt;"",IF(ISERROR(INT(RefStr!C52)),0,RefStr!C52),0)</f>
        <v>0</v>
      </c>
      <c r="T4" s="141" t="s">
        <v>39</v>
      </c>
      <c r="U4" s="154">
        <f>RefStr!C27</f>
        <v>0</v>
      </c>
      <c r="V4" s="141" t="s">
        <v>42</v>
      </c>
      <c r="W4" s="154">
        <f>RefStr!F31</f>
        <v>0</v>
      </c>
      <c r="X4" s="156" t="s">
        <v>2588</v>
      </c>
      <c r="Y4" s="157" t="str">
        <f>RefStr!I68</f>
        <v>NE</v>
      </c>
      <c r="Z4" s="141" t="s">
        <v>2589</v>
      </c>
      <c r="AA4" s="154" t="str">
        <f>RefStr!N19</f>
        <v>HSFI</v>
      </c>
    </row>
    <row r="5" spans="1:29" ht="14.1" customHeight="1" x14ac:dyDescent="0.25">
      <c r="A5" s="467"/>
      <c r="B5" s="468"/>
      <c r="C5" s="468"/>
      <c r="D5" s="468"/>
      <c r="E5" s="468"/>
      <c r="F5" s="468"/>
      <c r="G5" s="468"/>
      <c r="H5" s="468"/>
      <c r="I5" s="475"/>
      <c r="J5" s="476"/>
      <c r="N5" s="138" t="s">
        <v>111</v>
      </c>
      <c r="O5" s="141">
        <f>NT_I!Q1</f>
        <v>0</v>
      </c>
      <c r="P5" s="142">
        <f>NT_I!Q2</f>
        <v>0</v>
      </c>
      <c r="Q5" s="154">
        <f>NT_I!Q3</f>
        <v>0</v>
      </c>
      <c r="R5" s="141" t="s">
        <v>51</v>
      </c>
      <c r="S5" s="154">
        <f>IF(RefStr!C19&lt;&gt;"",IF(ISERROR(INT(RefStr!C19)),0,RefStr!C19),0)</f>
        <v>0</v>
      </c>
      <c r="T5" s="141" t="s">
        <v>37</v>
      </c>
      <c r="U5" s="154">
        <f>RefStr!H27</f>
        <v>0</v>
      </c>
      <c r="V5" s="141" t="s">
        <v>43</v>
      </c>
      <c r="W5" s="154">
        <f>RefStr!C33</f>
        <v>0</v>
      </c>
      <c r="X5" s="156" t="s">
        <v>2590</v>
      </c>
      <c r="Y5" s="157" t="str">
        <f>RefStr!I62</f>
        <v>NE</v>
      </c>
      <c r="Z5" s="141" t="s">
        <v>104</v>
      </c>
      <c r="AA5" s="154">
        <f>RefStr!M46</f>
        <v>0</v>
      </c>
    </row>
    <row r="6" spans="1:29" ht="14.1" customHeight="1" x14ac:dyDescent="0.25">
      <c r="A6" s="467"/>
      <c r="B6" s="468"/>
      <c r="C6" s="468"/>
      <c r="D6" s="468"/>
      <c r="E6" s="468"/>
      <c r="F6" s="468"/>
      <c r="G6" s="468"/>
      <c r="H6" s="468"/>
      <c r="I6" s="475"/>
      <c r="J6" s="476"/>
      <c r="N6" s="138" t="s">
        <v>112</v>
      </c>
      <c r="O6" s="141">
        <f>NT_D!Q1</f>
        <v>0</v>
      </c>
      <c r="P6" s="142">
        <f>NT_D!Q2</f>
        <v>0</v>
      </c>
      <c r="Q6" s="154">
        <f>NT_D!Q3</f>
        <v>0</v>
      </c>
      <c r="R6" s="141" t="s">
        <v>49</v>
      </c>
      <c r="S6" s="154">
        <f>RefStr!C21</f>
        <v>0</v>
      </c>
      <c r="T6" s="141" t="s">
        <v>38</v>
      </c>
      <c r="U6" s="154">
        <f>RefStr!M27</f>
        <v>0</v>
      </c>
      <c r="V6" s="141" t="s">
        <v>2591</v>
      </c>
      <c r="W6" s="154">
        <f>RefStr!L35</f>
        <v>0</v>
      </c>
      <c r="X6" s="141" t="s">
        <v>2592</v>
      </c>
      <c r="Y6" s="154">
        <f>RefStr!C68</f>
        <v>0</v>
      </c>
      <c r="Z6" s="141" t="s">
        <v>2593</v>
      </c>
      <c r="AA6" s="154">
        <f>RefStr!C46</f>
        <v>0</v>
      </c>
    </row>
    <row r="7" spans="1:29" ht="14.1" customHeight="1" x14ac:dyDescent="0.25">
      <c r="A7" s="467"/>
      <c r="B7" s="468"/>
      <c r="C7" s="468"/>
      <c r="D7" s="468"/>
      <c r="E7" s="468"/>
      <c r="F7" s="468"/>
      <c r="G7" s="468"/>
      <c r="H7" s="468"/>
      <c r="I7" s="148" t="s">
        <v>2594</v>
      </c>
      <c r="J7" s="150">
        <f>SUM(M12:M56)</f>
        <v>0</v>
      </c>
      <c r="N7" s="138" t="s">
        <v>113</v>
      </c>
      <c r="O7" s="141">
        <f>PK!T1</f>
        <v>0</v>
      </c>
      <c r="P7" s="142">
        <f>PK!T2</f>
        <v>0</v>
      </c>
      <c r="Q7" s="154">
        <f>PK!T3</f>
        <v>0</v>
      </c>
      <c r="R7" s="141" t="s">
        <v>201</v>
      </c>
      <c r="S7" s="154">
        <f>IF(RefStr!C44&lt;&gt;"",IF(ISERROR(INT(RefStr!C44)),0,RefStr!C44),0)</f>
        <v>0</v>
      </c>
      <c r="T7" s="141" t="s">
        <v>2595</v>
      </c>
      <c r="U7" s="154">
        <f>RefStr!C7</f>
        <v>4</v>
      </c>
      <c r="V7" s="141" t="s">
        <v>44</v>
      </c>
      <c r="W7" s="154" t="str">
        <f>TRIM(UPPER(RefStr!C35))</f>
        <v/>
      </c>
      <c r="X7" s="141" t="s">
        <v>2596</v>
      </c>
      <c r="Y7" s="154">
        <f>RefStr!C70</f>
        <v>0</v>
      </c>
      <c r="Z7" s="141" t="s">
        <v>2597</v>
      </c>
      <c r="AA7" s="154" t="str">
        <f>RefStr!D46</f>
        <v/>
      </c>
    </row>
    <row r="8" spans="1:29" ht="14.1" customHeight="1" x14ac:dyDescent="0.25">
      <c r="A8" s="469"/>
      <c r="B8" s="470"/>
      <c r="C8" s="470"/>
      <c r="D8" s="470"/>
      <c r="E8" s="470"/>
      <c r="F8" s="470"/>
      <c r="G8" s="470"/>
      <c r="H8" s="470"/>
      <c r="I8" s="471"/>
      <c r="J8" s="472"/>
      <c r="L8" s="134"/>
      <c r="M8" s="134"/>
      <c r="N8" s="152" t="s">
        <v>2598</v>
      </c>
      <c r="O8" s="143" t="str">
        <f>IF(RefStr!N6="NE","DA",IF(RefStr!N6="DA","NE",RefStr!N6))</f>
        <v>NE</v>
      </c>
      <c r="P8" s="144">
        <f>RefStr!C60</f>
        <v>0</v>
      </c>
      <c r="Q8" s="155">
        <f>RefStr!F60</f>
        <v>0</v>
      </c>
      <c r="R8" s="141" t="s">
        <v>2599</v>
      </c>
      <c r="S8" s="154">
        <f>IF(RefStr!C4&lt;&gt;"",RefStr!C4,0)</f>
        <v>0</v>
      </c>
      <c r="T8" s="141" t="s">
        <v>2600</v>
      </c>
      <c r="U8" s="154" t="str">
        <f>RefStr!D7</f>
        <v>Dioničko društvo</v>
      </c>
      <c r="V8" s="141" t="s">
        <v>2601</v>
      </c>
      <c r="W8" s="154">
        <f>RefStr!C42</f>
        <v>0</v>
      </c>
      <c r="X8" s="141" t="s">
        <v>2602</v>
      </c>
      <c r="Y8" s="154" t="str">
        <f>TRIM(UPPER(RefStr!C72))</f>
        <v/>
      </c>
      <c r="Z8" s="156" t="s">
        <v>2603</v>
      </c>
      <c r="AA8" s="157" t="str">
        <f>RefStr!I56</f>
        <v>NE</v>
      </c>
    </row>
    <row r="9" spans="1:29" ht="14.1" customHeight="1" x14ac:dyDescent="0.25">
      <c r="A9" s="477" t="s">
        <v>2604</v>
      </c>
      <c r="B9" s="477"/>
      <c r="C9" s="477" t="s">
        <v>2605</v>
      </c>
      <c r="D9" s="477"/>
      <c r="E9" s="477"/>
      <c r="F9" s="477"/>
      <c r="G9" s="477"/>
      <c r="H9" s="477"/>
      <c r="I9" s="477"/>
      <c r="J9" s="477"/>
      <c r="L9" s="134"/>
      <c r="M9" s="134"/>
      <c r="O9" s="152" t="s">
        <v>2606</v>
      </c>
      <c r="P9" s="139">
        <f>RefStr!C58</f>
        <v>0</v>
      </c>
      <c r="Q9" s="153">
        <f>RefStr!F58</f>
        <v>0</v>
      </c>
      <c r="R9" s="141" t="s">
        <v>2607</v>
      </c>
      <c r="S9" s="154">
        <f>IF(RefStr!F4&lt;&gt;"",RefStr!F4,0)</f>
        <v>0</v>
      </c>
      <c r="T9" s="141" t="s">
        <v>162</v>
      </c>
      <c r="U9" s="154">
        <f>RefStr!C39</f>
        <v>0</v>
      </c>
      <c r="V9" s="141" t="s">
        <v>2608</v>
      </c>
      <c r="W9" s="154" t="str">
        <f>RefStr!D42</f>
        <v>Šifra NKD-a nije upisana</v>
      </c>
      <c r="X9" s="158" t="s">
        <v>2609</v>
      </c>
      <c r="Y9" s="159" t="str">
        <f>RefStr!I66</f>
        <v>NE</v>
      </c>
      <c r="Z9" s="156" t="s">
        <v>2610</v>
      </c>
      <c r="AA9" s="157" t="str">
        <f>RefStr!I64</f>
        <v>NE</v>
      </c>
    </row>
    <row r="10" spans="1:29" ht="14.1" customHeight="1" x14ac:dyDescent="0.25">
      <c r="A10" s="478"/>
      <c r="B10" s="478"/>
      <c r="C10" s="478"/>
      <c r="D10" s="478"/>
      <c r="E10" s="478"/>
      <c r="F10" s="478"/>
      <c r="G10" s="478"/>
      <c r="H10" s="478"/>
      <c r="I10" s="478"/>
      <c r="J10" s="478"/>
      <c r="L10" s="134"/>
      <c r="M10" s="134"/>
      <c r="O10" s="152" t="s">
        <v>2611</v>
      </c>
      <c r="P10" s="143">
        <f>RefStr!C56</f>
        <v>0</v>
      </c>
      <c r="Q10" s="155">
        <f>RefStr!F56</f>
        <v>0</v>
      </c>
      <c r="R10" s="143" t="s">
        <v>212</v>
      </c>
      <c r="S10" s="155">
        <f>RefStr!C23</f>
        <v>1</v>
      </c>
      <c r="T10" s="143" t="s">
        <v>2612</v>
      </c>
      <c r="U10" s="155" t="str">
        <f>RefStr!D39</f>
        <v>Šifra grada/općine nije upisana</v>
      </c>
      <c r="V10" s="158"/>
      <c r="W10" s="159"/>
      <c r="X10" s="160" t="s">
        <v>2613</v>
      </c>
      <c r="Y10" s="161">
        <f>RefStr!F12</f>
        <v>0</v>
      </c>
      <c r="Z10" s="143" t="s">
        <v>2614</v>
      </c>
      <c r="AA10" s="155">
        <f>RefStr!A75</f>
        <v>0</v>
      </c>
    </row>
    <row r="11" spans="1:29" ht="14.1" customHeight="1" x14ac:dyDescent="0.25">
      <c r="A11" s="479" t="s">
        <v>2615</v>
      </c>
      <c r="B11" s="480"/>
      <c r="C11" s="480"/>
      <c r="D11" s="480"/>
      <c r="E11" s="480"/>
      <c r="F11" s="480"/>
      <c r="G11" s="480"/>
      <c r="H11" s="480"/>
      <c r="I11" s="480"/>
      <c r="J11" s="481"/>
      <c r="L11" s="134"/>
      <c r="M11" s="134"/>
      <c r="N11" s="138"/>
      <c r="O11" s="138"/>
      <c r="P11" s="138"/>
      <c r="Q11" s="138"/>
    </row>
    <row r="12" spans="1:29" ht="20.100000000000001" customHeight="1" x14ac:dyDescent="0.25">
      <c r="A12" s="145">
        <v>1</v>
      </c>
      <c r="B12" s="147" t="str">
        <f t="shared" ref="B12:B33" si="0">IF(L12=1,"Pogreška", IF(M12=1, "Provjera","OK"))</f>
        <v>Pogreška</v>
      </c>
      <c r="C12" s="461" t="s">
        <v>2616</v>
      </c>
      <c r="D12" s="461"/>
      <c r="E12" s="461"/>
      <c r="F12" s="461"/>
      <c r="G12" s="461"/>
      <c r="H12" s="461"/>
      <c r="I12" s="461"/>
      <c r="J12" s="461"/>
      <c r="L12" s="134">
        <f t="shared" ref="L12:L19" si="1">MAX(N12:R12)</f>
        <v>1</v>
      </c>
      <c r="M12" s="134"/>
      <c r="N12" s="3">
        <f>IF(OR(S8=0,S9=0,S8&gt;=S9),1,0)</f>
        <v>1</v>
      </c>
      <c r="O12" s="3">
        <f>IF(AND(S9-S8&gt;366,OR(S2&lt;&gt;30,S5=1)),1,0)</f>
        <v>0</v>
      </c>
    </row>
    <row r="13" spans="1:29" ht="26.25" customHeight="1" x14ac:dyDescent="0.25">
      <c r="A13" s="145">
        <f>A12+1</f>
        <v>2</v>
      </c>
      <c r="B13" s="147" t="str">
        <f t="shared" si="0"/>
        <v>Pogreška</v>
      </c>
      <c r="C13" s="461" t="s">
        <v>2617</v>
      </c>
      <c r="D13" s="461"/>
      <c r="E13" s="461"/>
      <c r="F13" s="461"/>
      <c r="G13" s="461"/>
      <c r="H13" s="461"/>
      <c r="I13" s="461"/>
      <c r="J13" s="461"/>
      <c r="L13" s="134">
        <f t="shared" si="1"/>
        <v>1</v>
      </c>
      <c r="M13" s="134"/>
      <c r="N13" s="3">
        <f>IF(OR(S9="",S9=0,S10="",S10=0,AND(O8&lt;&gt;"DA",O8&lt;&gt;"NE"),AND(AA4&lt;&gt;"HSFI",AA4&lt;&gt;"MSFI"),U8="",U8=0,W2="Upisana je nepostojeća ili neprepoznatljiva vrsta poslovnog subjekta"),1,0)</f>
        <v>1</v>
      </c>
    </row>
    <row r="14" spans="1:29" ht="20.100000000000001" customHeight="1" x14ac:dyDescent="0.25">
      <c r="A14" s="145">
        <f t="shared" ref="A14:A33" si="2">A13+1</f>
        <v>3</v>
      </c>
      <c r="B14" s="147" t="str">
        <f t="shared" si="0"/>
        <v>Pogreška</v>
      </c>
      <c r="C14" s="461" t="s">
        <v>2618</v>
      </c>
      <c r="D14" s="461"/>
      <c r="E14" s="461"/>
      <c r="F14" s="461"/>
      <c r="G14" s="461"/>
      <c r="H14" s="461"/>
      <c r="I14" s="461"/>
      <c r="J14" s="461"/>
      <c r="L14" s="134">
        <f t="shared" si="1"/>
        <v>1</v>
      </c>
      <c r="M14" s="134"/>
      <c r="N14" s="134">
        <f>IF(AND(S2&lt;&gt;10,S2&lt;&gt;11,S2&lt;&gt;20,S2&lt;&gt;21,S2&lt;&gt;30,S2&lt;&gt;31,S2&lt;&gt;40,S2&lt;&gt;50),1,0)</f>
        <v>1</v>
      </c>
      <c r="O14" s="134"/>
    </row>
    <row r="15" spans="1:29" ht="38.25" customHeight="1" x14ac:dyDescent="0.25">
      <c r="A15" s="145">
        <f t="shared" si="2"/>
        <v>4</v>
      </c>
      <c r="B15" s="147" t="str">
        <f>IF(L15=1,"Pogreška", IF(M15=1, "Provjera","OK"))</f>
        <v>Pogreška</v>
      </c>
      <c r="C15" s="461" t="s">
        <v>2619</v>
      </c>
      <c r="D15" s="461"/>
      <c r="E15" s="461"/>
      <c r="F15" s="461"/>
      <c r="G15" s="461"/>
      <c r="H15" s="461"/>
      <c r="I15" s="461"/>
      <c r="J15" s="461"/>
      <c r="L15" s="134">
        <f t="shared" si="1"/>
        <v>1</v>
      </c>
      <c r="M15" s="134"/>
      <c r="N15" s="134">
        <f>IF(AND(S6&lt;&gt;"DA",S6&lt;&gt;"NE"),1,0)</f>
        <v>1</v>
      </c>
      <c r="O15" s="134">
        <f>IF(AND(S6="DA",S5&lt;&gt;2),1,0)</f>
        <v>0</v>
      </c>
    </row>
    <row r="16" spans="1:29" ht="27" customHeight="1" x14ac:dyDescent="0.25">
      <c r="A16" s="145">
        <f t="shared" si="2"/>
        <v>5</v>
      </c>
      <c r="B16" s="147" t="str">
        <f t="shared" si="0"/>
        <v>Pogreška</v>
      </c>
      <c r="C16" s="461" t="s">
        <v>2620</v>
      </c>
      <c r="D16" s="461"/>
      <c r="E16" s="461"/>
      <c r="F16" s="461"/>
      <c r="G16" s="461"/>
      <c r="H16" s="461"/>
      <c r="I16" s="461"/>
      <c r="J16" s="461"/>
      <c r="L16" s="134">
        <f t="shared" si="1"/>
        <v>1</v>
      </c>
      <c r="M16" s="134"/>
      <c r="N16" s="134">
        <f>IF(AND(S5&lt;&gt;1,S5&lt;&gt;2,S5&lt;&gt;3),1,0)</f>
        <v>1</v>
      </c>
      <c r="O16" s="134">
        <f>IF(AND(S5&gt;1,U7&gt;7,U7&lt;&gt;12),1,0)</f>
        <v>0</v>
      </c>
    </row>
    <row r="17" spans="1:61" ht="29.25" customHeight="1" x14ac:dyDescent="0.25">
      <c r="A17" s="145">
        <f t="shared" si="2"/>
        <v>6</v>
      </c>
      <c r="B17" s="147" t="str">
        <f t="shared" si="0"/>
        <v>OK</v>
      </c>
      <c r="C17" s="461" t="s">
        <v>2621</v>
      </c>
      <c r="D17" s="461"/>
      <c r="E17" s="461"/>
      <c r="F17" s="461"/>
      <c r="G17" s="461"/>
      <c r="H17" s="461"/>
      <c r="I17" s="461"/>
      <c r="J17" s="461"/>
      <c r="L17" s="134">
        <f t="shared" si="1"/>
        <v>0</v>
      </c>
      <c r="M17" s="134"/>
      <c r="N17" s="134">
        <f>IF(AND(S10&lt;&gt;1,S10&lt;&gt;2,S10&lt;&gt;3, S10&lt;&gt;4,Y10&gt;2016),1,0)</f>
        <v>0</v>
      </c>
      <c r="O17" s="134"/>
    </row>
    <row r="18" spans="1:61" ht="43.5" customHeight="1" x14ac:dyDescent="0.25">
      <c r="A18" s="145">
        <f t="shared" si="2"/>
        <v>7</v>
      </c>
      <c r="B18" s="147" t="str">
        <f t="shared" si="0"/>
        <v>Pogreška</v>
      </c>
      <c r="C18" s="461" t="s">
        <v>2622</v>
      </c>
      <c r="D18" s="461"/>
      <c r="E18" s="461"/>
      <c r="F18" s="461"/>
      <c r="G18" s="461"/>
      <c r="H18" s="461"/>
      <c r="I18" s="461"/>
      <c r="J18" s="461"/>
      <c r="L18" s="134">
        <f t="shared" si="1"/>
        <v>1</v>
      </c>
      <c r="M18" s="134"/>
      <c r="N18" s="134">
        <f>IF(AND(U2&lt;&gt;"DA",U2&lt;&gt;"NE"),1,0)</f>
        <v>1</v>
      </c>
      <c r="O18" s="134">
        <f>IF(AND(U2="NE",AND(U3&lt;&gt;"",U3&lt;&gt;0)),1,0)</f>
        <v>0</v>
      </c>
      <c r="P18" s="3">
        <f>IF(AND(U2="DA",OR(U3="",U3=0)),1,0)</f>
        <v>0</v>
      </c>
      <c r="Q18" s="3">
        <f>IF(AND(S5=1,U2="DA"),1,0)</f>
        <v>0</v>
      </c>
      <c r="R18" s="3">
        <f>IF(U2&lt;&gt;Y5,1,0)</f>
        <v>1</v>
      </c>
    </row>
    <row r="19" spans="1:61" ht="20.100000000000001" customHeight="1" x14ac:dyDescent="0.25">
      <c r="A19" s="145">
        <f t="shared" si="2"/>
        <v>8</v>
      </c>
      <c r="B19" s="147" t="str">
        <f t="shared" si="0"/>
        <v>Pogreška</v>
      </c>
      <c r="C19" s="461" t="s">
        <v>2623</v>
      </c>
      <c r="D19" s="461"/>
      <c r="E19" s="461"/>
      <c r="F19" s="461"/>
      <c r="G19" s="461"/>
      <c r="H19" s="461"/>
      <c r="I19" s="461"/>
      <c r="J19" s="461"/>
      <c r="L19" s="134">
        <f t="shared" si="1"/>
        <v>1</v>
      </c>
      <c r="M19" s="134"/>
      <c r="N19" s="134">
        <f>IF(ISNUMBER(VALUE(U4)),0,1)</f>
        <v>0</v>
      </c>
      <c r="O19" s="134">
        <f>IF(U4=0,1,0)</f>
        <v>1</v>
      </c>
      <c r="P19" s="3">
        <f>IF(LEN(U4)&gt;11,1,0)</f>
        <v>0</v>
      </c>
    </row>
    <row r="20" spans="1:61" ht="41.25" customHeight="1" x14ac:dyDescent="0.25">
      <c r="A20" s="145">
        <f t="shared" si="2"/>
        <v>9</v>
      </c>
      <c r="B20" s="147" t="str">
        <f t="shared" si="0"/>
        <v>Pogreška</v>
      </c>
      <c r="C20" s="461" t="s">
        <v>2624</v>
      </c>
      <c r="D20" s="461"/>
      <c r="E20" s="461"/>
      <c r="F20" s="461"/>
      <c r="G20" s="461"/>
      <c r="H20" s="461"/>
      <c r="I20" s="461"/>
      <c r="J20" s="461"/>
      <c r="L20" s="134">
        <f>MAX(N20:S20)</f>
        <v>1</v>
      </c>
      <c r="M20" s="134"/>
      <c r="N20" s="134">
        <f>IF(AND(INT(VALUE(U5))&lt;123455,U7&lt;&gt;16),1,0)</f>
        <v>1</v>
      </c>
      <c r="O20" s="134">
        <f>IF(AND(INT(VALUE(U5))&gt;0,U7=16),1,0)</f>
        <v>0</v>
      </c>
      <c r="P20" s="3">
        <f>IF(AND(OR(INT(VALUE(U5))&lt;50000000,INT(VALUE(U5))&gt;59999999),U7=15),1,0)</f>
        <v>0</v>
      </c>
      <c r="Q20" s="3">
        <f>IF(AND(OR(INT(VALUE(U5))&lt;80000000,INT(VALUE(U5))&gt;89999999),U7=14),1,0)</f>
        <v>0</v>
      </c>
      <c r="R20" s="3">
        <f>IF(AND(OR(INT(VALUE(U5))&lt;90000000,INT(VALUE(U5))&gt;99999999),U7=13),1,0)</f>
        <v>0</v>
      </c>
      <c r="S20" s="3">
        <f>IF(AND(U7&lt;&gt;13,U7&lt;&gt;14,U7&lt;&gt;15,U7&lt;&gt;16,INT(VALUE(U5)&gt;10000000)),1,0)</f>
        <v>0</v>
      </c>
    </row>
    <row r="21" spans="1:61" ht="30" customHeight="1" x14ac:dyDescent="0.25">
      <c r="A21" s="145">
        <f t="shared" si="2"/>
        <v>10</v>
      </c>
      <c r="B21" s="147" t="str">
        <f t="shared" si="0"/>
        <v>Pogreška</v>
      </c>
      <c r="C21" s="461" t="s">
        <v>2625</v>
      </c>
      <c r="D21" s="461"/>
      <c r="E21" s="461"/>
      <c r="F21" s="461"/>
      <c r="G21" s="461"/>
      <c r="H21" s="461"/>
      <c r="I21" s="461"/>
      <c r="J21" s="461"/>
      <c r="L21" s="134">
        <f>MAX(N21:R21)</f>
        <v>1</v>
      </c>
      <c r="M21" s="134"/>
      <c r="N21" s="134">
        <f>IF(ISNUMBER(VALUE(U6)),0,1)</f>
        <v>0</v>
      </c>
      <c r="O21" s="134">
        <f>IF(AND(U6=0,U7&lt;13),1,0)</f>
        <v>1</v>
      </c>
      <c r="P21" s="3">
        <f>IF(LEN(U6)&gt;9,1,0)</f>
        <v>0</v>
      </c>
      <c r="Q21" s="3">
        <f>IF(AND(U7&gt;12,U6&gt;0),1,0)</f>
        <v>0</v>
      </c>
    </row>
    <row r="22" spans="1:61" ht="20.100000000000001" customHeight="1" x14ac:dyDescent="0.25">
      <c r="A22" s="145">
        <f t="shared" si="2"/>
        <v>11</v>
      </c>
      <c r="B22" s="147" t="str">
        <f t="shared" si="0"/>
        <v>Pogreška</v>
      </c>
      <c r="C22" s="461" t="s">
        <v>2626</v>
      </c>
      <c r="D22" s="461"/>
      <c r="E22" s="461"/>
      <c r="F22" s="461"/>
      <c r="G22" s="461"/>
      <c r="H22" s="461"/>
      <c r="I22" s="461"/>
      <c r="J22" s="461"/>
      <c r="L22" s="134">
        <f>MAX(N22:R22)</f>
        <v>1</v>
      </c>
      <c r="M22" s="134"/>
      <c r="N22" s="134">
        <f>IF(OR(LEN(W2)&lt;3,W2=0),1,0)</f>
        <v>1</v>
      </c>
      <c r="O22" s="134"/>
    </row>
    <row r="23" spans="1:61" ht="25.5" customHeight="1" x14ac:dyDescent="0.25">
      <c r="A23" s="145">
        <f t="shared" si="2"/>
        <v>12</v>
      </c>
      <c r="B23" s="147" t="str">
        <f t="shared" si="0"/>
        <v>Pogreška</v>
      </c>
      <c r="C23" s="461" t="s">
        <v>2627</v>
      </c>
      <c r="D23" s="461"/>
      <c r="E23" s="461"/>
      <c r="F23" s="461"/>
      <c r="G23" s="461"/>
      <c r="H23" s="461"/>
      <c r="I23" s="461"/>
      <c r="J23" s="461"/>
      <c r="L23" s="134">
        <f>MAX(N23:R23)</f>
        <v>1</v>
      </c>
      <c r="M23" s="134"/>
      <c r="N23" s="134">
        <f>IF(OR(W3=0,W4=0),1,0)</f>
        <v>1</v>
      </c>
      <c r="O23" s="134">
        <f>IF(LEN(W4)&lt;2,1,0)</f>
        <v>1</v>
      </c>
      <c r="P23" s="3">
        <f>IF(OR(W3&lt;10000,W3&gt;54000),1,0)</f>
        <v>1</v>
      </c>
      <c r="Q23" s="3">
        <f>IF(OR(MID(W4,1,1)="1",MID(W4,1,1)="2",MID(W4,1,1)="3",MID(W4,1,1)="4",MID(W4,1,1)="5"),1,0)</f>
        <v>0</v>
      </c>
    </row>
    <row r="24" spans="1:61" ht="25.5" customHeight="1" x14ac:dyDescent="0.25">
      <c r="A24" s="145">
        <f t="shared" si="2"/>
        <v>13</v>
      </c>
      <c r="B24" s="147" t="str">
        <f t="shared" si="0"/>
        <v>Pogreška</v>
      </c>
      <c r="C24" s="461" t="s">
        <v>2628</v>
      </c>
      <c r="D24" s="461"/>
      <c r="E24" s="461"/>
      <c r="F24" s="461"/>
      <c r="G24" s="461"/>
      <c r="H24" s="461"/>
      <c r="I24" s="461"/>
      <c r="J24" s="461"/>
      <c r="L24" s="134">
        <f>MAX(N24:R24)</f>
        <v>1</v>
      </c>
      <c r="M24" s="134"/>
      <c r="N24" s="134">
        <f>IF(OR(W5=0,W6=0),1,0)</f>
        <v>1</v>
      </c>
      <c r="O24" s="134">
        <f>IF(LEN(W5)&lt;4,1,0)</f>
        <v>1</v>
      </c>
      <c r="P24" s="3">
        <f>IF(LEN(W6)&lt;6,1,0)</f>
        <v>1</v>
      </c>
    </row>
    <row r="25" spans="1:61" ht="24.9" customHeight="1" x14ac:dyDescent="0.25">
      <c r="A25" s="145">
        <f t="shared" si="2"/>
        <v>14</v>
      </c>
      <c r="B25" s="147" t="str">
        <f t="shared" si="0"/>
        <v>Pogreška</v>
      </c>
      <c r="C25" s="461" t="s">
        <v>2629</v>
      </c>
      <c r="D25" s="461"/>
      <c r="E25" s="461"/>
      <c r="F25" s="461"/>
      <c r="G25" s="461"/>
      <c r="H25" s="461"/>
      <c r="I25" s="461"/>
      <c r="J25" s="461"/>
      <c r="L25" s="134">
        <f>MAX(N25:BH25)</f>
        <v>1</v>
      </c>
      <c r="M25" s="134"/>
      <c r="N25" s="134">
        <f>IF(LEN(W7)&lt;6,1,0)</f>
        <v>1</v>
      </c>
      <c r="O25" s="134">
        <f>IF(ISERROR(FIND("@",W7,1)),1,0)</f>
        <v>1</v>
      </c>
      <c r="P25" s="134">
        <f>IF(ISERROR(FIND("@",W7,1)),1,0)</f>
        <v>1</v>
      </c>
      <c r="Q25" s="134">
        <f>IF(ISERROR(FIND(".",W7,1)),1,0)</f>
        <v>1</v>
      </c>
      <c r="R25" s="134">
        <f>IF(ISERROR(FIND(".",W7,1)),1,0)</f>
        <v>1</v>
      </c>
      <c r="S25" s="134">
        <f>IF(ISERROR(FIND("Č",W7,1)),0,1)</f>
        <v>0</v>
      </c>
      <c r="T25" s="134">
        <f>IF(ISERROR(FIND("Č",W7,1)),0,1)</f>
        <v>0</v>
      </c>
      <c r="U25" s="134">
        <f>IF(ISERROR(FIND("Ć",W7,1)),0,1)</f>
        <v>0</v>
      </c>
      <c r="V25" s="134">
        <f>IF(ISERROR(FIND("Ć",W7,1)),0,1)</f>
        <v>0</v>
      </c>
      <c r="W25" s="134">
        <f>IF(ISERROR(FIND("Š",W7,1)),0,1)</f>
        <v>0</v>
      </c>
      <c r="X25" s="134">
        <f>IF(ISERROR(FIND("Š",W7,1)),0,1)</f>
        <v>0</v>
      </c>
      <c r="Y25" s="134">
        <f>IF(ISERROR(FIND("Ž",W7,1)),0,1)</f>
        <v>0</v>
      </c>
      <c r="Z25" s="134">
        <f>IF(ISERROR(FIND("Ž",W7,1)),0,1)</f>
        <v>0</v>
      </c>
      <c r="AA25" s="134">
        <f>IF(ISERROR(FIND("Đ",W7,1)),0,1)</f>
        <v>0</v>
      </c>
      <c r="AB25" s="134">
        <f>IF(ISERROR(FIND("Đ",W7,1)),0,1)</f>
        <v>0</v>
      </c>
      <c r="AC25" s="3">
        <f>IF(ISERROR(FIND("""",W7,1)),0,1)</f>
        <v>0</v>
      </c>
      <c r="AD25" s="3">
        <f>IF(ISERROR(FIND("""",W7,1)),0,1)</f>
        <v>0</v>
      </c>
      <c r="AE25" s="3">
        <f>IF(ISERROR(FIND(",",W7,1)),0,1)</f>
        <v>0</v>
      </c>
      <c r="AF25" s="3">
        <f>IF(ISERROR(FIND(",",W7,1)),0,1)</f>
        <v>0</v>
      </c>
      <c r="AG25" s="3">
        <f>IF(ISERROR(FIND(";",W7,1)),0,1)</f>
        <v>0</v>
      </c>
      <c r="AH25" s="3">
        <f>IF(ISERROR(FIND(";",W7,1)),0,1)</f>
        <v>0</v>
      </c>
      <c r="AI25" s="3">
        <f>IF(ISERROR(FIND(":",$W7,1)),0,1)</f>
        <v>0</v>
      </c>
      <c r="AJ25" s="3">
        <f>IF(ISERROR(FIND(":",$W7,1)),0,1)</f>
        <v>0</v>
      </c>
      <c r="AK25" s="3">
        <f>IF(ISERROR(FIND("?",$W7,1)),0,1)</f>
        <v>0</v>
      </c>
      <c r="AL25" s="3">
        <f>IF(ISERROR(FIND("?",$W7,1)),0,1)</f>
        <v>0</v>
      </c>
      <c r="AM25" s="3">
        <f>IF(ISERROR(FIND("!",$W7,1)),0,1)</f>
        <v>0</v>
      </c>
      <c r="AN25" s="3">
        <f>IF(ISERROR(FIND("!",$W7,1)),0,1)</f>
        <v>0</v>
      </c>
      <c r="AO25" s="3">
        <f>IF(ISERROR(FIND("#",$W7,1)),0,1)</f>
        <v>0</v>
      </c>
      <c r="AP25" s="3">
        <f>IF(ISERROR(FIND("#",$W7,1)),0,1)</f>
        <v>0</v>
      </c>
      <c r="AQ25" s="3">
        <f>IF(ISERROR(FIND("$",$W7,1)),0,1)</f>
        <v>0</v>
      </c>
      <c r="AR25" s="3">
        <f>IF(ISERROR(FIND("$",$W7,1)),0,1)</f>
        <v>0</v>
      </c>
      <c r="AS25" s="3">
        <f>IF(ISERROR(FIND("%",$W7,1)),0,1)</f>
        <v>0</v>
      </c>
      <c r="AT25" s="3">
        <f>IF(ISERROR(FIND("%",$W7,1)),0,1)</f>
        <v>0</v>
      </c>
      <c r="AU25" s="3">
        <f>IF(ISERROR(FIND("&amp;",$W7,1)),0,1)</f>
        <v>0</v>
      </c>
      <c r="AV25" s="3">
        <f>IF(ISERROR(FIND("&amp;",$W7,1)),0,1)</f>
        <v>0</v>
      </c>
      <c r="AW25" s="3">
        <f>IF(ISERROR(FIND("/",$W7,1)),0,1)</f>
        <v>0</v>
      </c>
      <c r="AX25" s="3">
        <f>IF(ISERROR(FIND("/",$W7,1)),0,1)</f>
        <v>0</v>
      </c>
      <c r="AY25" s="3">
        <f>IF(ISERROR(FIND("=",$W7,1)),0,1)</f>
        <v>0</v>
      </c>
      <c r="AZ25" s="3">
        <f>IF(ISERROR(FIND("=",$W7,1)),0,1)</f>
        <v>0</v>
      </c>
      <c r="BA25" s="3">
        <f>IF(ISERROR(FIND("(",$W7,1)),0,1)</f>
        <v>0</v>
      </c>
      <c r="BB25" s="3">
        <f>IF(ISERROR(FIND("(",$W7,1)),0,1)</f>
        <v>0</v>
      </c>
      <c r="BC25" s="3">
        <f>IF(ISERROR(FIND(")",$W7,1)),0,1)</f>
        <v>0</v>
      </c>
      <c r="BD25" s="3">
        <f>IF(ISERROR(FIND(")",$W7,1)),0,1)</f>
        <v>0</v>
      </c>
      <c r="BE25" s="3">
        <f>IF(ISERROR(FIND(" ",$W7,1)),0,1)</f>
        <v>0</v>
      </c>
      <c r="BF25" s="3">
        <f>IF(ISERROR(FIND(" ",$W7,1)),0,1)</f>
        <v>0</v>
      </c>
      <c r="BG25" s="3">
        <f>IF(RIGHT(W7,1)=".",1,0)</f>
        <v>0</v>
      </c>
      <c r="BH25" s="3">
        <f>IF(RIGHT(W7,1)=".",1,0)</f>
        <v>0</v>
      </c>
    </row>
    <row r="26" spans="1:61" ht="20.100000000000001" customHeight="1" x14ac:dyDescent="0.25">
      <c r="A26" s="145">
        <f t="shared" si="2"/>
        <v>15</v>
      </c>
      <c r="B26" s="147" t="str">
        <f t="shared" si="0"/>
        <v>Pogreška</v>
      </c>
      <c r="C26" s="461" t="s">
        <v>2630</v>
      </c>
      <c r="D26" s="461"/>
      <c r="E26" s="461"/>
      <c r="F26" s="461"/>
      <c r="G26" s="461"/>
      <c r="H26" s="461"/>
      <c r="I26" s="461"/>
      <c r="J26" s="461"/>
      <c r="L26" s="134">
        <f>MAX(N26:R26)</f>
        <v>1</v>
      </c>
      <c r="M26" s="134"/>
      <c r="N26" s="134">
        <f>IF(OR(U9&lt;1,U9&gt;631),1,0)</f>
        <v>1</v>
      </c>
      <c r="O26" s="134">
        <f>IF(U10="Šifra grada/općine ne postoji",1,0)</f>
        <v>0</v>
      </c>
    </row>
    <row r="27" spans="1:61" ht="20.100000000000001" customHeight="1" x14ac:dyDescent="0.25">
      <c r="A27" s="145">
        <f t="shared" si="2"/>
        <v>16</v>
      </c>
      <c r="B27" s="147" t="str">
        <f t="shared" si="0"/>
        <v>Pogreška</v>
      </c>
      <c r="C27" s="461" t="s">
        <v>2631</v>
      </c>
      <c r="D27" s="461"/>
      <c r="E27" s="461"/>
      <c r="F27" s="461"/>
      <c r="G27" s="461"/>
      <c r="H27" s="461"/>
      <c r="I27" s="461"/>
      <c r="J27" s="461"/>
      <c r="L27" s="134">
        <f>MAX(N27:R27)</f>
        <v>1</v>
      </c>
      <c r="M27" s="134"/>
      <c r="N27" s="134">
        <f>IF(AND(OR(W8=0,W8=""),U7&lt;&gt;16),1,0)</f>
        <v>1</v>
      </c>
      <c r="O27" s="3">
        <f>IF(W9="Šifra NKD-a ne postoji",1,0)</f>
        <v>0</v>
      </c>
    </row>
    <row r="28" spans="1:61" ht="20.100000000000001" customHeight="1" x14ac:dyDescent="0.25">
      <c r="A28" s="145">
        <f t="shared" si="2"/>
        <v>17</v>
      </c>
      <c r="B28" s="147" t="str">
        <f>IF(L28=1,"Pogreška", IF(M28=1, "Provjera","OK"))</f>
        <v>Pogreška</v>
      </c>
      <c r="C28" s="461" t="s">
        <v>2632</v>
      </c>
      <c r="D28" s="461"/>
      <c r="E28" s="461"/>
      <c r="F28" s="461"/>
      <c r="G28" s="461"/>
      <c r="H28" s="461"/>
      <c r="I28" s="461"/>
      <c r="J28" s="461"/>
      <c r="L28" s="134">
        <f>MAX(N28:R28)</f>
        <v>1</v>
      </c>
      <c r="M28" s="134"/>
      <c r="N28" s="134">
        <f>IF(AND(S4&lt;&gt;11,S4&lt;&gt;12,S4&lt;&gt;21,S4&lt;&gt;22,S4&lt;&gt;31,S4&lt;&gt;41,S4&lt;&gt;42),1,0)</f>
        <v>1</v>
      </c>
    </row>
    <row r="29" spans="1:61" ht="24.9" customHeight="1" x14ac:dyDescent="0.25">
      <c r="A29" s="145">
        <f t="shared" si="2"/>
        <v>18</v>
      </c>
      <c r="B29" s="147" t="str">
        <f>IF(L29=1,"Pogreška", IF(M29=1, "Provjera","OK"))</f>
        <v>Pogreška</v>
      </c>
      <c r="C29" s="461" t="s">
        <v>2633</v>
      </c>
      <c r="D29" s="461"/>
      <c r="E29" s="461"/>
      <c r="F29" s="461"/>
      <c r="G29" s="461"/>
      <c r="H29" s="461"/>
      <c r="I29" s="461"/>
      <c r="J29" s="461"/>
      <c r="L29" s="134">
        <f>MAX(N29:R29)</f>
        <v>1</v>
      </c>
      <c r="M29" s="134"/>
      <c r="N29" s="134">
        <f>IF(ISERROR(Y2+Y3),1,IF(Y2+Y3&lt;&gt;100,1,0))</f>
        <v>1</v>
      </c>
      <c r="O29" s="3">
        <f>IF(ISERROR(INT(Y2)),1,IF(ROUND(Y2,0)&lt;&gt;Y2,1,0))</f>
        <v>1</v>
      </c>
      <c r="P29" s="3">
        <f>IF(ISERROR(INT(Y3)),1,IF(ROUND(INT(Y3),0)&lt;&gt;INT(Y3),1,0))</f>
        <v>1</v>
      </c>
    </row>
    <row r="30" spans="1:61" ht="24.9" customHeight="1" x14ac:dyDescent="0.25">
      <c r="A30" s="145">
        <f t="shared" si="2"/>
        <v>19</v>
      </c>
      <c r="B30" s="147" t="str">
        <f t="shared" si="0"/>
        <v>Pogreška</v>
      </c>
      <c r="C30" s="461" t="s">
        <v>2634</v>
      </c>
      <c r="D30" s="461"/>
      <c r="E30" s="461"/>
      <c r="F30" s="461"/>
      <c r="G30" s="461"/>
      <c r="H30" s="461"/>
      <c r="I30" s="461"/>
      <c r="J30" s="461"/>
      <c r="L30" s="134">
        <f>MAX(N30:R30)</f>
        <v>1</v>
      </c>
      <c r="M30" s="134"/>
      <c r="N30" s="134">
        <f>IF(AND(P2&gt;0,P8=0),1,0)</f>
        <v>0</v>
      </c>
      <c r="O30" s="134">
        <f>IF(Q8=0,1,0)</f>
        <v>1</v>
      </c>
      <c r="P30" s="3">
        <f>IF(OR(P8&gt;12,AND(Q8&gt;12,P8&gt;0)),1,0)</f>
        <v>0</v>
      </c>
      <c r="Q30" s="3">
        <f>IF(AND(Q8&gt;12,OR(S5&lt;&gt;2,S2&lt;&gt;30)),1,0)</f>
        <v>0</v>
      </c>
    </row>
    <row r="31" spans="1:61" ht="30" customHeight="1" x14ac:dyDescent="0.25">
      <c r="A31" s="145">
        <f t="shared" si="2"/>
        <v>20</v>
      </c>
      <c r="B31" s="147" t="str">
        <f>IF(L31=1,"Pogreška", IF(M31=1, "Provjera","OK"))</f>
        <v>Pogreška</v>
      </c>
      <c r="C31" s="461" t="s">
        <v>2635</v>
      </c>
      <c r="D31" s="461"/>
      <c r="E31" s="461"/>
      <c r="F31" s="461"/>
      <c r="G31" s="461"/>
      <c r="H31" s="461"/>
      <c r="I31" s="461"/>
      <c r="J31" s="461"/>
      <c r="L31" s="134">
        <f>MAX(N31:BI31)</f>
        <v>1</v>
      </c>
      <c r="M31" s="134"/>
      <c r="N31" s="134">
        <f>IF(OR(LEN(Y6)&lt;5,LEN(Y6)&lt;8,LEN(Y8)&lt;6),1,0)</f>
        <v>1</v>
      </c>
      <c r="O31" s="134">
        <f>IF(LEN(Y8)&lt;6,1,0)</f>
        <v>1</v>
      </c>
      <c r="P31" s="134">
        <f>IF(ISERROR(FIND("@",Y8,1)),1,0)</f>
        <v>1</v>
      </c>
      <c r="Q31" s="134">
        <f>IF(ISERROR(FIND("@",Y8,1)),1,0)</f>
        <v>1</v>
      </c>
      <c r="R31" s="134">
        <f>IF(ISERROR(FIND(".",Y8,1)),1,0)</f>
        <v>1</v>
      </c>
      <c r="S31" s="134">
        <f>IF(ISERROR(FIND(".",Y8,1)),1,0)</f>
        <v>1</v>
      </c>
      <c r="T31" s="134">
        <f>IF(ISERROR(FIND("Č",Y8,1)),0,1)</f>
        <v>0</v>
      </c>
      <c r="U31" s="134">
        <f>IF(ISERROR(FIND("Č",Y8,1)),0,1)</f>
        <v>0</v>
      </c>
      <c r="V31" s="134">
        <f>IF(ISERROR(FIND("Ć",Y8,1)),0,1)</f>
        <v>0</v>
      </c>
      <c r="W31" s="134">
        <f>IF(ISERROR(FIND("Ć",Y8,1)),0,1)</f>
        <v>0</v>
      </c>
      <c r="X31" s="134">
        <f>IF(ISERROR(FIND("Š",Y8,1)),0,1)</f>
        <v>0</v>
      </c>
      <c r="Y31" s="134">
        <f>IF(ISERROR(FIND("Š",Y8,1)),0,1)</f>
        <v>0</v>
      </c>
      <c r="Z31" s="134">
        <f>IF(ISERROR(FIND("Ž",Y8,1)),0,1)</f>
        <v>0</v>
      </c>
      <c r="AA31" s="134">
        <f>IF(ISERROR(FIND("Ž",Y8,1)),0,1)</f>
        <v>0</v>
      </c>
      <c r="AB31" s="134">
        <f>IF(ISERROR(FIND("Đ",Y8,1)),0,1)</f>
        <v>0</v>
      </c>
      <c r="AC31" s="134">
        <f>IF(ISERROR(FIND("Đ",Y8,1)),0,1)</f>
        <v>0</v>
      </c>
      <c r="AD31" s="3">
        <f>IF(ISERROR(FIND("""",Y8,1)),0,1)</f>
        <v>0</v>
      </c>
      <c r="AE31" s="3">
        <f>IF(ISERROR(FIND("""",Y8,1)),0,1)</f>
        <v>0</v>
      </c>
      <c r="AF31" s="3">
        <f>IF(ISERROR(FIND(",",Y8,1)),0,1)</f>
        <v>0</v>
      </c>
      <c r="AG31" s="3">
        <f>IF(ISERROR(FIND(",",Y8,1)),0,1)</f>
        <v>0</v>
      </c>
      <c r="AH31" s="3">
        <f>IF(ISERROR(FIND(";",Y8,1)),0,1)</f>
        <v>0</v>
      </c>
      <c r="AI31" s="3">
        <f>IF(ISERROR(FIND(";",Y8,1)),0,1)</f>
        <v>0</v>
      </c>
      <c r="AJ31" s="3">
        <f>IF(ISERROR(FIND(":",$W17,1)),0,1)</f>
        <v>0</v>
      </c>
      <c r="AK31" s="3">
        <f>IF(ISERROR(FIND(":",$W17,1)),0,1)</f>
        <v>0</v>
      </c>
      <c r="AL31" s="3">
        <f>IF(ISERROR(FIND("?",$W17,1)),0,1)</f>
        <v>0</v>
      </c>
      <c r="AM31" s="3">
        <f>IF(ISERROR(FIND("?",$W17,1)),0,1)</f>
        <v>0</v>
      </c>
      <c r="AN31" s="3">
        <f>IF(ISERROR(FIND("!",$W17,1)),0,1)</f>
        <v>0</v>
      </c>
      <c r="AO31" s="3">
        <f>IF(ISERROR(FIND("!",$W17,1)),0,1)</f>
        <v>0</v>
      </c>
      <c r="AP31" s="3">
        <f>IF(ISERROR(FIND("#",$W17,1)),0,1)</f>
        <v>0</v>
      </c>
      <c r="AQ31" s="3">
        <f>IF(ISERROR(FIND("#",$W17,1)),0,1)</f>
        <v>0</v>
      </c>
      <c r="AR31" s="3">
        <f>IF(ISERROR(FIND("$",$W17,1)),0,1)</f>
        <v>0</v>
      </c>
      <c r="AS31" s="3">
        <f>IF(ISERROR(FIND("$",$W17,1)),0,1)</f>
        <v>0</v>
      </c>
      <c r="AT31" s="3">
        <f>IF(ISERROR(FIND("%",$W17,1)),0,1)</f>
        <v>0</v>
      </c>
      <c r="AU31" s="3">
        <f>IF(ISERROR(FIND("%",$W17,1)),0,1)</f>
        <v>0</v>
      </c>
      <c r="AV31" s="3">
        <f>IF(ISERROR(FIND("&amp;",$W17,1)),0,1)</f>
        <v>0</v>
      </c>
      <c r="AW31" s="3">
        <f>IF(ISERROR(FIND("&amp;",$W17,1)),0,1)</f>
        <v>0</v>
      </c>
      <c r="AX31" s="3">
        <f>IF(ISERROR(FIND("/",$W17,1)),0,1)</f>
        <v>0</v>
      </c>
      <c r="AY31" s="3">
        <f>IF(ISERROR(FIND("/",$W17,1)),0,1)</f>
        <v>0</v>
      </c>
      <c r="AZ31" s="3">
        <f>IF(ISERROR(FIND("=",$W17,1)),0,1)</f>
        <v>0</v>
      </c>
      <c r="BA31" s="3">
        <f>IF(ISERROR(FIND("=",$W17,1)),0,1)</f>
        <v>0</v>
      </c>
      <c r="BB31" s="3">
        <f>IF(ISERROR(FIND("(",$W17,1)),0,1)</f>
        <v>0</v>
      </c>
      <c r="BC31" s="3">
        <f>IF(ISERROR(FIND("(",$W17,1)),0,1)</f>
        <v>0</v>
      </c>
      <c r="BD31" s="3">
        <f>IF(ISERROR(FIND(")",$W17,1)),0,1)</f>
        <v>0</v>
      </c>
      <c r="BE31" s="3">
        <f>IF(ISERROR(FIND(")",$W17,1)),0,1)</f>
        <v>0</v>
      </c>
      <c r="BF31" s="3">
        <f>IF(ISERROR(FIND(" ",$W17,1)),0,1)</f>
        <v>0</v>
      </c>
      <c r="BG31" s="3">
        <f>IF(ISERROR(FIND(" ",$W17,1)),0,1)</f>
        <v>0</v>
      </c>
      <c r="BH31" s="3">
        <f>IF(RIGHT(Y8,1)=".",1,0)</f>
        <v>0</v>
      </c>
      <c r="BI31" s="3">
        <f>IF(RIGHT(Y8,1)=".",1,0)</f>
        <v>0</v>
      </c>
    </row>
    <row r="32" spans="1:61" ht="41.25" customHeight="1" x14ac:dyDescent="0.25">
      <c r="A32" s="145">
        <f t="shared" si="2"/>
        <v>21</v>
      </c>
      <c r="B32" s="147" t="str">
        <f t="shared" si="0"/>
        <v>OK</v>
      </c>
      <c r="C32" s="461" t="s">
        <v>2636</v>
      </c>
      <c r="D32" s="461"/>
      <c r="E32" s="461"/>
      <c r="F32" s="461"/>
      <c r="G32" s="461"/>
      <c r="H32" s="461"/>
      <c r="I32" s="461"/>
      <c r="J32" s="461"/>
      <c r="L32" s="134">
        <f>MAX(N32:Q32)</f>
        <v>0</v>
      </c>
      <c r="M32" s="134"/>
      <c r="N32" s="134">
        <f>IF(OR(AND(AA2="",AA3&lt;&gt;""),AND(AA2&lt;&gt;"",AA3="")),1,0)</f>
        <v>0</v>
      </c>
      <c r="O32" s="3">
        <f>IF(AND(RefStr!H27=RefStr!B64,RefStr!H27&lt;&gt;""),1,0)</f>
        <v>0</v>
      </c>
      <c r="P32" s="3">
        <f>IF(AND(AA2&lt;&gt;"",Y8=W7),1,0)</f>
        <v>0</v>
      </c>
    </row>
    <row r="33" spans="1:22" ht="20.100000000000001" customHeight="1" x14ac:dyDescent="0.25">
      <c r="A33" s="145">
        <f t="shared" si="2"/>
        <v>22</v>
      </c>
      <c r="B33" s="147" t="str">
        <f t="shared" si="0"/>
        <v>Pogreška</v>
      </c>
      <c r="C33" s="461" t="s">
        <v>2637</v>
      </c>
      <c r="D33" s="461"/>
      <c r="E33" s="461"/>
      <c r="F33" s="461"/>
      <c r="G33" s="461"/>
      <c r="H33" s="461"/>
      <c r="I33" s="461"/>
      <c r="J33" s="461"/>
      <c r="L33" s="134">
        <f>MAX(N33:R33)</f>
        <v>1</v>
      </c>
      <c r="M33" s="134"/>
      <c r="N33" s="134">
        <f>IF(LEN(AA10)&lt;5,1,0)</f>
        <v>1</v>
      </c>
      <c r="O33" s="134"/>
    </row>
    <row r="34" spans="1:22" ht="20.100000000000001" customHeight="1" x14ac:dyDescent="0.25">
      <c r="A34" s="482" t="s">
        <v>2638</v>
      </c>
      <c r="B34" s="483"/>
      <c r="C34" s="483"/>
      <c r="D34" s="483"/>
      <c r="E34" s="483"/>
      <c r="F34" s="483"/>
      <c r="G34" s="483"/>
      <c r="H34" s="483"/>
      <c r="I34" s="483"/>
      <c r="J34" s="484"/>
      <c r="L34" s="134">
        <f>MAX(N34:R34)</f>
        <v>0</v>
      </c>
      <c r="M34" s="134"/>
      <c r="N34" s="134"/>
      <c r="O34" s="134"/>
      <c r="P34" s="134"/>
    </row>
    <row r="35" spans="1:22" ht="30" customHeight="1" x14ac:dyDescent="0.25">
      <c r="A35" s="145">
        <f>A33+1</f>
        <v>23</v>
      </c>
      <c r="B35" s="147" t="str">
        <f t="shared" ref="B35:B43" si="3">IF(L35=1,"Pogreška", IF(M35=1, "Provjera","OK"))</f>
        <v>OK</v>
      </c>
      <c r="C35" s="461" t="s">
        <v>2639</v>
      </c>
      <c r="D35" s="461"/>
      <c r="E35" s="461"/>
      <c r="F35" s="461"/>
      <c r="G35" s="461"/>
      <c r="H35" s="461"/>
      <c r="I35" s="461"/>
      <c r="J35" s="461"/>
      <c r="L35" s="134">
        <f>MAX(N35:T35)</f>
        <v>0</v>
      </c>
      <c r="M35" s="134"/>
      <c r="N35" s="134">
        <f>IF(ABS(Bilanca!I33-(Bilanca!I52+Bilanca!I65))&gt;ODST,1,0)</f>
        <v>0</v>
      </c>
      <c r="O35" s="134">
        <f>IF(ABS(Bilanca!J33-(Bilanca!J52+Bilanca!J65))&gt;ODST,1,0)</f>
        <v>0</v>
      </c>
      <c r="P35" s="3">
        <f>IF(AND(Bilanca!I33&gt;0,P8=0),1,0)</f>
        <v>0</v>
      </c>
      <c r="Q35" s="3">
        <f>IF(AND(Bilanca!I33=0,P8&gt;0),1,0)</f>
        <v>0</v>
      </c>
      <c r="R35" s="3">
        <f>IF(AND(Bilanca!J33&gt;0,Q8=0),1,0)</f>
        <v>0</v>
      </c>
      <c r="S35" s="3">
        <f>IF(AND(Bilanca!J33=0,Q8&gt;0),1,0)</f>
        <v>0</v>
      </c>
    </row>
    <row r="36" spans="1:22" ht="30" customHeight="1" x14ac:dyDescent="0.25">
      <c r="A36" s="145">
        <f>A35+1</f>
        <v>24</v>
      </c>
      <c r="B36" s="147" t="str">
        <f t="shared" si="3"/>
        <v>OK</v>
      </c>
      <c r="C36" s="461" t="s">
        <v>2640</v>
      </c>
      <c r="D36" s="461"/>
      <c r="E36" s="461"/>
      <c r="F36" s="461"/>
      <c r="G36" s="461"/>
      <c r="H36" s="461"/>
      <c r="I36" s="461"/>
      <c r="J36" s="461"/>
      <c r="L36" s="134">
        <f>MAX(N36:R36)</f>
        <v>0</v>
      </c>
      <c r="M36" s="134"/>
      <c r="N36" s="134">
        <f>IF(ABS(Bilanca!I34-Bilanca!I66)&gt;ODST,1,0)</f>
        <v>0</v>
      </c>
      <c r="O36" s="134">
        <f>IF(ABS(Bilanca!J34-Bilanca!J66)&gt;ODST,1,0)</f>
        <v>0</v>
      </c>
    </row>
    <row r="37" spans="1:22" ht="30" customHeight="1" x14ac:dyDescent="0.25">
      <c r="A37" s="145">
        <f t="shared" ref="A37:A43" si="4">A36+1</f>
        <v>25</v>
      </c>
      <c r="B37" s="147" t="str">
        <f t="shared" si="3"/>
        <v>OK</v>
      </c>
      <c r="C37" s="461" t="s">
        <v>2641</v>
      </c>
      <c r="D37" s="461"/>
      <c r="E37" s="461"/>
      <c r="F37" s="461"/>
      <c r="G37" s="461"/>
      <c r="H37" s="461"/>
      <c r="I37" s="461"/>
      <c r="J37" s="461"/>
      <c r="L37" s="134">
        <f>MAX(N37:R37)</f>
        <v>0</v>
      </c>
      <c r="M37" s="134"/>
      <c r="N37" s="134">
        <f>IF(AND($S6&lt;&gt;"DA", ABS(Bilanca!I59-RDG!I36)&gt;1),1,0)</f>
        <v>0</v>
      </c>
      <c r="O37" s="134">
        <f>IF(AND($S6&lt;&gt;"DA", ABS(Bilanca!J59-RDG!J36)&gt;1),1,0)</f>
        <v>0</v>
      </c>
    </row>
    <row r="38" spans="1:22" ht="50.1" customHeight="1" x14ac:dyDescent="0.25">
      <c r="A38" s="145">
        <f t="shared" si="4"/>
        <v>26</v>
      </c>
      <c r="B38" s="147" t="str">
        <f t="shared" si="3"/>
        <v>OK</v>
      </c>
      <c r="C38" s="461" t="s">
        <v>2642</v>
      </c>
      <c r="D38" s="461"/>
      <c r="E38" s="461"/>
      <c r="F38" s="461"/>
      <c r="G38" s="461"/>
      <c r="H38" s="461"/>
      <c r="I38" s="461"/>
      <c r="J38" s="461"/>
      <c r="L38" s="134">
        <f>MAX(N38:R38)</f>
        <v>0</v>
      </c>
      <c r="M38" s="134"/>
      <c r="N38" s="134">
        <f>IF(AND(S5&gt;1,OR(S2=10,S2=11),U2&lt;&gt;"DA"),1,0)</f>
        <v>0</v>
      </c>
      <c r="O38" s="134"/>
    </row>
    <row r="39" spans="1:22" ht="30" customHeight="1" x14ac:dyDescent="0.25">
      <c r="A39" s="145">
        <f t="shared" si="4"/>
        <v>27</v>
      </c>
      <c r="B39" s="147" t="str">
        <f t="shared" si="3"/>
        <v>OK</v>
      </c>
      <c r="C39" s="461" t="s">
        <v>2643</v>
      </c>
      <c r="D39" s="461"/>
      <c r="E39" s="461"/>
      <c r="F39" s="461"/>
      <c r="G39" s="461"/>
      <c r="H39" s="461"/>
      <c r="I39" s="461"/>
      <c r="J39" s="461"/>
      <c r="L39" s="134">
        <f>MAX(N39:R39)</f>
        <v>0</v>
      </c>
      <c r="M39" s="134"/>
      <c r="N39" s="134">
        <f>IF(AND(S6="DA",AND(S2&lt;&gt;10,S2&lt;&gt;11,S2&lt;&gt;20,S2&lt;&gt;30)),1,0)</f>
        <v>0</v>
      </c>
      <c r="O39" s="134">
        <f>IF(AND(S5&lt;&gt;2,S6="DA"),1,0)</f>
        <v>0</v>
      </c>
    </row>
    <row r="40" spans="1:22" ht="42" customHeight="1" x14ac:dyDescent="0.25">
      <c r="A40" s="145">
        <f t="shared" si="4"/>
        <v>28</v>
      </c>
      <c r="B40" s="147" t="str">
        <f t="shared" si="3"/>
        <v>OK</v>
      </c>
      <c r="C40" s="461" t="s">
        <v>2644</v>
      </c>
      <c r="D40" s="461"/>
      <c r="E40" s="461"/>
      <c r="F40" s="461"/>
      <c r="G40" s="461"/>
      <c r="H40" s="461"/>
      <c r="I40" s="461"/>
      <c r="J40" s="461"/>
      <c r="L40" s="137">
        <f>MAX(N40:Q40)</f>
        <v>0</v>
      </c>
      <c r="M40" s="134"/>
      <c r="N40" s="135">
        <f>IF(MIN(Bilanca!I9:J34,Bilanca!I36:J57,Bilanca!I66:J66)&lt;0,1,0)</f>
        <v>0</v>
      </c>
      <c r="O40" s="135"/>
      <c r="P40" s="134"/>
    </row>
    <row r="41" spans="1:22" ht="30" customHeight="1" x14ac:dyDescent="0.25">
      <c r="A41" s="145">
        <f t="shared" si="4"/>
        <v>29</v>
      </c>
      <c r="B41" s="147" t="str">
        <f t="shared" si="3"/>
        <v>OK</v>
      </c>
      <c r="C41" s="461" t="s">
        <v>2645</v>
      </c>
      <c r="D41" s="461"/>
      <c r="E41" s="461"/>
      <c r="F41" s="461"/>
      <c r="G41" s="461"/>
      <c r="H41" s="461"/>
      <c r="I41" s="461"/>
      <c r="J41" s="461"/>
      <c r="L41" s="137">
        <f>MAX(N41:Q41)</f>
        <v>0</v>
      </c>
      <c r="M41" s="134"/>
      <c r="N41" s="135">
        <f>IF(MIN(RDG!I9:J18,RDG!I20:J33)&lt;0,1,0)</f>
        <v>0</v>
      </c>
      <c r="O41" s="134"/>
      <c r="P41" s="134"/>
    </row>
    <row r="42" spans="1:22" ht="20.100000000000001" customHeight="1" x14ac:dyDescent="0.25">
      <c r="A42" s="145">
        <f t="shared" si="4"/>
        <v>30</v>
      </c>
      <c r="B42" s="147" t="str">
        <f t="shared" si="3"/>
        <v>OK</v>
      </c>
      <c r="C42" s="461" t="s">
        <v>2646</v>
      </c>
      <c r="D42" s="461"/>
      <c r="E42" s="461"/>
      <c r="F42" s="461"/>
      <c r="G42" s="461"/>
      <c r="H42" s="461"/>
      <c r="I42" s="461"/>
      <c r="J42" s="461"/>
      <c r="L42" s="137">
        <f>MAX(N42:O42)</f>
        <v>0</v>
      </c>
      <c r="M42" s="134"/>
      <c r="N42" s="135">
        <f>IF(MIN(Dodatni!I9:J15)&lt;0,1,0)</f>
        <v>0</v>
      </c>
      <c r="O42" s="134"/>
      <c r="P42" s="135"/>
      <c r="Q42" s="136"/>
    </row>
    <row r="43" spans="1:22" ht="75" customHeight="1" x14ac:dyDescent="0.25">
      <c r="A43" s="145">
        <f t="shared" si="4"/>
        <v>31</v>
      </c>
      <c r="B43" s="147" t="str">
        <f t="shared" si="3"/>
        <v>Pogreška</v>
      </c>
      <c r="C43" s="461" t="s">
        <v>2647</v>
      </c>
      <c r="D43" s="461"/>
      <c r="E43" s="461"/>
      <c r="F43" s="461"/>
      <c r="G43" s="461"/>
      <c r="H43" s="461"/>
      <c r="I43" s="461"/>
      <c r="J43" s="461"/>
      <c r="L43" s="134">
        <f>MAX(N43:R43)</f>
        <v>1</v>
      </c>
      <c r="M43" s="137"/>
      <c r="N43" s="137">
        <f>IF(MID(P43,2,1)&lt;&gt; ".",1,0)</f>
        <v>1</v>
      </c>
      <c r="O43" s="137">
        <f>IF(MID(P43,6,1)&lt;&gt; ",",1,0)</f>
        <v>1</v>
      </c>
      <c r="P43" s="134" t="str">
        <f>TEXT(1000.1,"#.000,00")</f>
        <v>1000.10000</v>
      </c>
    </row>
    <row r="44" spans="1:22" ht="20.100000000000001" customHeight="1" x14ac:dyDescent="0.25">
      <c r="A44" s="462" t="s">
        <v>2648</v>
      </c>
      <c r="B44" s="463"/>
      <c r="C44" s="463"/>
      <c r="D44" s="463"/>
      <c r="E44" s="463"/>
      <c r="F44" s="463"/>
      <c r="G44" s="463"/>
      <c r="H44" s="463"/>
      <c r="I44" s="463"/>
      <c r="J44" s="464"/>
    </row>
    <row r="45" spans="1:22" ht="54" customHeight="1" x14ac:dyDescent="0.25">
      <c r="A45" s="145">
        <f>A43+1</f>
        <v>32</v>
      </c>
      <c r="B45" s="146" t="str">
        <f t="shared" ref="B45:B56" si="5">IF(L45=1,"Pogreška", IF(M45=1, "Provjera","OK"))</f>
        <v>OK</v>
      </c>
      <c r="C45" s="461" t="s">
        <v>2649</v>
      </c>
      <c r="D45" s="461"/>
      <c r="E45" s="461"/>
      <c r="F45" s="461"/>
      <c r="G45" s="461"/>
      <c r="H45" s="461"/>
      <c r="I45" s="461"/>
      <c r="J45" s="461"/>
      <c r="L45" s="134">
        <f>MAX(N45:S45)</f>
        <v>0</v>
      </c>
      <c r="M45" s="134"/>
      <c r="N45" s="134">
        <f>IF(OR(AND(P2=0,P8&gt;0),AND(P2&gt;0,P8=0)),1,0)</f>
        <v>0</v>
      </c>
      <c r="O45" s="134">
        <f>IF(OR(AND(Q2=0,Q8&gt;0),AND(Q2&gt;0,Q8=0)),1,0)</f>
        <v>0</v>
      </c>
      <c r="P45" s="134">
        <f>IF(OR(AND(P3=0,P8&gt;0,O8&lt;&gt;"DA"),AND(P3&gt;0,P8=0)),1,0)</f>
        <v>0</v>
      </c>
      <c r="Q45" s="3">
        <f>IF(OR(AND(Q3=0,Q8&gt;0,O8&lt;&gt;"DA"),AND(Q3=1,Q8=0)),1,0)</f>
        <v>0</v>
      </c>
    </row>
    <row r="46" spans="1:22" ht="76.5" customHeight="1" x14ac:dyDescent="0.25">
      <c r="A46" s="145">
        <f>A45+1</f>
        <v>33</v>
      </c>
      <c r="B46" s="147" t="str">
        <f t="shared" si="5"/>
        <v>OK</v>
      </c>
      <c r="C46" s="461" t="s">
        <v>2650</v>
      </c>
      <c r="D46" s="461"/>
      <c r="E46" s="461"/>
      <c r="F46" s="461"/>
      <c r="G46" s="461"/>
      <c r="H46" s="461"/>
      <c r="I46" s="461"/>
      <c r="J46" s="461"/>
      <c r="L46" s="134">
        <f>MAX(N46:T46)</f>
        <v>0</v>
      </c>
      <c r="M46" s="134">
        <f>MAX(U46:W46)</f>
        <v>0</v>
      </c>
      <c r="N46" s="134">
        <f>IF(AND(S5&lt;&gt;2,AND(P4=0,O8&lt;&gt;"DA",P8&gt;0)),1,0)</f>
        <v>0</v>
      </c>
      <c r="O46" s="134">
        <f>IF(AND(S5&lt;&gt;2,AND(Q4=0,O8&lt;&gt;"DA",Q8&gt;0)),1,0)</f>
        <v>0</v>
      </c>
      <c r="P46" s="134">
        <f>IF(AND(S5=2,OR(P4&gt;0,Q4&gt;0)),1,0)</f>
        <v>0</v>
      </c>
      <c r="Q46" s="3">
        <f>IF(AND(O4&gt;0,S2&lt;&gt;10,S2&lt;&gt;11,S2&lt;&gt;20,S2&lt;&gt;30,S2&lt;&gt;40),1,0)</f>
        <v>0</v>
      </c>
      <c r="U46" s="3">
        <f>IF(AND(S5&lt;&gt;2,AND(P4=0,P8&gt;0)),1,0)</f>
        <v>0</v>
      </c>
      <c r="V46" s="3">
        <f>IF(AND(S5&lt;&gt;2,AND(Q4=0,Q8&gt;0)),1,0)</f>
        <v>0</v>
      </c>
    </row>
    <row r="47" spans="1:22" ht="45" customHeight="1" x14ac:dyDescent="0.25">
      <c r="A47" s="145">
        <f t="shared" ref="A47:A56" si="6">A46+1</f>
        <v>34</v>
      </c>
      <c r="B47" s="147" t="str">
        <f t="shared" si="5"/>
        <v>OK</v>
      </c>
      <c r="C47" s="461" t="s">
        <v>2651</v>
      </c>
      <c r="D47" s="461"/>
      <c r="E47" s="461"/>
      <c r="F47" s="461"/>
      <c r="G47" s="461"/>
      <c r="H47" s="461"/>
      <c r="I47" s="461"/>
      <c r="J47" s="461"/>
      <c r="L47" s="134">
        <f>MAX(N47:O47)</f>
        <v>0</v>
      </c>
      <c r="M47" s="134"/>
      <c r="N47" s="134">
        <f>IF(AND(S5=1,AA8&lt;&gt;"NE"),1,0)</f>
        <v>0</v>
      </c>
      <c r="O47" s="134">
        <f>IF(AND(S5&gt;1,AA8&lt;&gt;"DA"),1,0)</f>
        <v>0</v>
      </c>
    </row>
    <row r="48" spans="1:22" ht="54.9" customHeight="1" x14ac:dyDescent="0.25">
      <c r="A48" s="145">
        <f t="shared" si="6"/>
        <v>35</v>
      </c>
      <c r="B48" s="147" t="str">
        <f t="shared" si="5"/>
        <v>OK</v>
      </c>
      <c r="C48" s="461" t="s">
        <v>2652</v>
      </c>
      <c r="D48" s="461"/>
      <c r="E48" s="461"/>
      <c r="F48" s="461"/>
      <c r="G48" s="461"/>
      <c r="H48" s="461"/>
      <c r="I48" s="461"/>
      <c r="J48" s="461"/>
      <c r="L48" s="134">
        <f>IF(SUM(N48:S48)&gt;0,1,0)</f>
        <v>0</v>
      </c>
      <c r="M48" s="134"/>
      <c r="N48" s="134">
        <f>IF(AND(S5=1,OR(O5&lt;&gt;0,O6&lt;&gt;0)),1,0)</f>
        <v>0</v>
      </c>
      <c r="O48" s="134">
        <f>IF(AND(S3&lt;3,OR(O5&lt;&gt;0,O6&lt;&gt;0)),1,0)</f>
        <v>0</v>
      </c>
      <c r="P48" s="134">
        <f>IF(AND(O5&lt;&gt;0,O6&lt;&gt;0),1,0)</f>
        <v>0</v>
      </c>
      <c r="Q48" s="3">
        <f>IF(AND(S3&gt;2,S5&gt;1,AND(O5=0,O6=0)),1,0)</f>
        <v>0</v>
      </c>
      <c r="R48" s="3">
        <f>IF(AND(O5&lt;&gt;0,OR(P2&lt;&gt;P5,Q2&lt;&gt;Q5)),1,0)</f>
        <v>0</v>
      </c>
      <c r="S48" s="3">
        <f>IF(AND(O6&lt;&gt;0,OR(P2&lt;&gt;P6,Q2&lt;&gt;Q6)),1,0)</f>
        <v>0</v>
      </c>
    </row>
    <row r="49" spans="1:32" ht="33.75" customHeight="1" x14ac:dyDescent="0.25">
      <c r="A49" s="145">
        <f t="shared" si="6"/>
        <v>36</v>
      </c>
      <c r="B49" s="147" t="str">
        <f t="shared" si="5"/>
        <v>OK</v>
      </c>
      <c r="C49" s="461" t="s">
        <v>2653</v>
      </c>
      <c r="D49" s="461"/>
      <c r="E49" s="461"/>
      <c r="F49" s="461"/>
      <c r="G49" s="461"/>
      <c r="H49" s="461"/>
      <c r="I49" s="461"/>
      <c r="J49" s="461"/>
      <c r="L49" s="134">
        <f>IF(SUM(N49:Q49)&gt;0,1,0)</f>
        <v>0</v>
      </c>
      <c r="M49" s="134"/>
      <c r="N49" s="134">
        <f>IF(AND(S5=1,O7&lt;&gt;0),1,0)</f>
        <v>0</v>
      </c>
      <c r="O49" s="134">
        <f>IF(AND(S3&lt;3,O7&lt;&gt;0),1,0)</f>
        <v>0</v>
      </c>
      <c r="P49" s="134">
        <f>IF(AND(S3&gt;2,S5&gt;1,O7=0),1,0)</f>
        <v>0</v>
      </c>
      <c r="Q49" s="134">
        <f>IF(AND(O7&lt;&gt;0,OR(P2&lt;&gt;P7,Q2&lt;&gt;Q7)),1,0)</f>
        <v>0</v>
      </c>
      <c r="R49" s="134"/>
      <c r="S49" s="134"/>
      <c r="T49" s="134"/>
      <c r="U49" s="134"/>
    </row>
    <row r="50" spans="1:32" ht="33" customHeight="1" x14ac:dyDescent="0.25">
      <c r="A50" s="145">
        <f t="shared" si="6"/>
        <v>37</v>
      </c>
      <c r="B50" s="147" t="str">
        <f t="shared" si="5"/>
        <v>OK</v>
      </c>
      <c r="C50" s="461" t="s">
        <v>2654</v>
      </c>
      <c r="D50" s="461"/>
      <c r="E50" s="461"/>
      <c r="F50" s="461"/>
      <c r="G50" s="461"/>
      <c r="H50" s="461"/>
      <c r="I50" s="461"/>
      <c r="J50" s="461"/>
      <c r="L50" s="134">
        <f>MAX(N50:R50)</f>
        <v>0</v>
      </c>
      <c r="M50" s="134"/>
      <c r="N50" s="134">
        <f>IF(AND(S5=1,AA9="DA"),1,0)</f>
        <v>0</v>
      </c>
      <c r="O50" s="134">
        <f>IF(AND(S3&lt;3,AA9="DA"),1,0)</f>
        <v>0</v>
      </c>
      <c r="P50" s="134">
        <f>IF(AND(AA9="DA",S2&lt;&gt;10,S2&lt;&gt;11,S2&lt;&gt;20,S2&lt;&gt;30),1,0)</f>
        <v>0</v>
      </c>
      <c r="Q50" s="3">
        <f>IF(AND(AA9="NE",S2&lt;12,S3&gt;2,S5&gt;1),1,0)</f>
        <v>0</v>
      </c>
      <c r="R50" s="134"/>
      <c r="S50" s="134"/>
      <c r="T50" s="134"/>
    </row>
    <row r="51" spans="1:32" ht="39" customHeight="1" x14ac:dyDescent="0.25">
      <c r="A51" s="145">
        <f t="shared" si="6"/>
        <v>38</v>
      </c>
      <c r="B51" s="147" t="str">
        <f t="shared" si="5"/>
        <v>OK</v>
      </c>
      <c r="C51" s="461" t="s">
        <v>2655</v>
      </c>
      <c r="D51" s="461"/>
      <c r="E51" s="461"/>
      <c r="F51" s="461"/>
      <c r="G51" s="461"/>
      <c r="H51" s="461"/>
      <c r="I51" s="461"/>
      <c r="J51" s="461"/>
      <c r="L51" s="134">
        <f>MAX(N51:R51)</f>
        <v>0</v>
      </c>
      <c r="M51" s="134"/>
      <c r="N51" s="134">
        <f>IF(AND(S2&lt;&gt;10,S2&lt;&gt;11,S2&lt;&gt;20,S2&lt;&gt;30,Y9="DA"),1,0)</f>
        <v>0</v>
      </c>
      <c r="O51" s="134">
        <f>IF(AND(Y9="DA",RefStr!C19&lt;2),1,0)</f>
        <v>0</v>
      </c>
      <c r="P51" s="134">
        <f>IF(AND(RefStr!C19&gt;1,Y9&lt;&gt;"DA",S2=10,S6&lt;&gt;"DA"),1,0)</f>
        <v>0</v>
      </c>
      <c r="Q51" s="3">
        <f>IF(AND(RefStr!C19&gt;1,Y9&lt;&gt;"DA",S2=11,S6&lt;&gt;"DA"),1,0)</f>
        <v>0</v>
      </c>
      <c r="R51" s="3">
        <f>IF(AND(S6="DA",Y9="DA"),1,0)</f>
        <v>0</v>
      </c>
      <c r="S51" s="134"/>
      <c r="T51" s="134"/>
      <c r="U51" s="134"/>
      <c r="V51" s="134"/>
      <c r="W51" s="134"/>
    </row>
    <row r="52" spans="1:32" ht="42" customHeight="1" x14ac:dyDescent="0.25">
      <c r="A52" s="145">
        <f t="shared" si="6"/>
        <v>39</v>
      </c>
      <c r="B52" s="147" t="str">
        <f t="shared" si="5"/>
        <v>OK</v>
      </c>
      <c r="C52" s="461" t="s">
        <v>2656</v>
      </c>
      <c r="D52" s="461"/>
      <c r="E52" s="461"/>
      <c r="F52" s="461"/>
      <c r="G52" s="461"/>
      <c r="H52" s="461"/>
      <c r="I52" s="461"/>
      <c r="J52" s="461"/>
      <c r="L52" s="134">
        <f>MAX(N52:S52)</f>
        <v>0</v>
      </c>
      <c r="M52" s="134"/>
      <c r="N52" s="134">
        <f>IF(AND(RefStr!C19=1,Y4="DA"),1,0)</f>
        <v>0</v>
      </c>
      <c r="O52" s="134">
        <f>IF(AND(Y4="DA",S2&lt;&gt;10,S2&lt;&gt;11,S2&lt;&gt;20,S2&lt;&gt;30),1,0)</f>
        <v>0</v>
      </c>
      <c r="P52" s="134">
        <f>IF(AND(S2=10,RefStr!C19&gt;1,Y4&lt;&gt; "DA"),1,0)</f>
        <v>0</v>
      </c>
      <c r="Q52" s="3">
        <f>IF(AND(S2=11,RefStr!C19&gt;1,Y4&lt;&gt; "DA"),1,0)</f>
        <v>0</v>
      </c>
      <c r="R52" s="134"/>
      <c r="S52" s="134"/>
      <c r="T52" s="134"/>
      <c r="U52" s="134"/>
      <c r="V52" s="134"/>
      <c r="W52" s="134"/>
      <c r="AA52" s="134"/>
      <c r="AB52" s="134"/>
      <c r="AC52" s="134"/>
      <c r="AD52" s="134"/>
      <c r="AE52" s="134"/>
      <c r="AF52" s="134"/>
    </row>
    <row r="53" spans="1:32" ht="39.9" customHeight="1" x14ac:dyDescent="0.25">
      <c r="A53" s="145">
        <f t="shared" si="6"/>
        <v>40</v>
      </c>
      <c r="B53" s="147" t="str">
        <f t="shared" si="5"/>
        <v>OK</v>
      </c>
      <c r="C53" s="461" t="s">
        <v>2657</v>
      </c>
      <c r="D53" s="461"/>
      <c r="E53" s="461"/>
      <c r="F53" s="461"/>
      <c r="G53" s="461"/>
      <c r="H53" s="461"/>
      <c r="I53" s="461"/>
      <c r="J53" s="461"/>
      <c r="L53" s="134">
        <f>MAX(N53:S53)</f>
        <v>0</v>
      </c>
      <c r="M53" s="134"/>
      <c r="N53" s="134">
        <f>IF(AND(S2=11,S5=3),1,0)</f>
        <v>0</v>
      </c>
      <c r="O53" s="134"/>
      <c r="P53" s="134"/>
      <c r="R53" s="134"/>
      <c r="S53" s="134"/>
      <c r="T53" s="134"/>
      <c r="U53" s="134"/>
      <c r="V53" s="134"/>
      <c r="W53" s="134"/>
      <c r="AA53" s="134"/>
      <c r="AB53" s="134"/>
      <c r="AC53" s="134"/>
      <c r="AD53" s="134"/>
      <c r="AE53" s="134"/>
      <c r="AF53" s="134"/>
    </row>
    <row r="54" spans="1:32" ht="109.5" customHeight="1" x14ac:dyDescent="0.25">
      <c r="A54" s="145">
        <f t="shared" si="6"/>
        <v>41</v>
      </c>
      <c r="B54" s="147" t="str">
        <f t="shared" si="5"/>
        <v>Pogreška</v>
      </c>
      <c r="C54" s="461" t="s">
        <v>2658</v>
      </c>
      <c r="D54" s="461"/>
      <c r="E54" s="461"/>
      <c r="F54" s="461"/>
      <c r="G54" s="461"/>
      <c r="H54" s="461"/>
      <c r="I54" s="461"/>
      <c r="J54" s="461"/>
      <c r="L54" s="134">
        <f>MAX(N54:S54)</f>
        <v>1</v>
      </c>
      <c r="M54" s="134"/>
      <c r="N54" s="134">
        <f>IF(OR(P8&gt;12,P8&lt;0,Q8&lt;=0,Q8&gt;U54,Q8&lt;V54,S8&gt;=S9),1,0)</f>
        <v>1</v>
      </c>
      <c r="O54" s="3">
        <f>IF(AND(P8 = 0,MAX(P2:P7)=1),1,0)</f>
        <v>0</v>
      </c>
      <c r="P54" s="134">
        <f>IF(AND(S2=10,OR(MONTH(S9)&lt;&gt;12,DAY(S9)&lt;&gt;31)),1,0)</f>
        <v>0</v>
      </c>
      <c r="Q54" s="134">
        <f>IF(AND(S2=11,S5=1,OR(MONTH(S9)&lt;&gt;12,DAY(S9)&lt;&gt;31)),1,0)</f>
        <v>0</v>
      </c>
      <c r="R54" s="3">
        <f>IF(AND(S2=11,MONTH(S9)=12,DAY(S9)=31,RefStr!C19=2),1,0)</f>
        <v>0</v>
      </c>
      <c r="U54" s="135">
        <f>ROUND((S9-S8+20)/30,0)</f>
        <v>1</v>
      </c>
      <c r="V54" s="3">
        <f>ROUND((S9-S8-20)/30,0)</f>
        <v>-1</v>
      </c>
      <c r="W54" s="134"/>
      <c r="X54" s="134"/>
      <c r="Y54" s="134"/>
      <c r="Z54" s="134"/>
    </row>
    <row r="55" spans="1:32" ht="108" customHeight="1" x14ac:dyDescent="0.25">
      <c r="A55" s="145">
        <f t="shared" si="6"/>
        <v>42</v>
      </c>
      <c r="B55" s="147" t="str">
        <f t="shared" ca="1" si="5"/>
        <v>OK</v>
      </c>
      <c r="C55" s="461" t="s">
        <v>2659</v>
      </c>
      <c r="D55" s="461"/>
      <c r="E55" s="461"/>
      <c r="F55" s="461"/>
      <c r="G55" s="461"/>
      <c r="H55" s="461"/>
      <c r="I55" s="461"/>
      <c r="J55" s="461"/>
      <c r="L55" s="137">
        <f ca="1">MAX(N55:N55)</f>
        <v>0</v>
      </c>
      <c r="M55" s="137"/>
      <c r="N55" s="137">
        <f ca="1">IF(ISERROR(P55),0,1)</f>
        <v>0</v>
      </c>
      <c r="O55" s="134" t="e">
        <f ca="1">CELL("filename")</f>
        <v>#N/A</v>
      </c>
      <c r="P55" s="134" t="e">
        <f ca="1">FIND(".XLSX", UPPER(O55),1)</f>
        <v>#N/A</v>
      </c>
      <c r="Q55" s="134"/>
      <c r="R55" s="134"/>
      <c r="S55" s="134"/>
      <c r="T55" s="134"/>
      <c r="U55" s="134"/>
      <c r="X55" s="134"/>
      <c r="Y55" s="134"/>
      <c r="Z55" s="134"/>
      <c r="AA55" s="134"/>
      <c r="AB55" s="134"/>
      <c r="AC55" s="134"/>
    </row>
    <row r="56" spans="1:32" ht="56.25" customHeight="1" x14ac:dyDescent="0.25">
      <c r="A56" s="145">
        <f t="shared" si="6"/>
        <v>43</v>
      </c>
      <c r="B56" s="147" t="str">
        <f t="shared" si="5"/>
        <v>OK</v>
      </c>
      <c r="C56" s="461" t="s">
        <v>2660</v>
      </c>
      <c r="D56" s="461"/>
      <c r="E56" s="461"/>
      <c r="F56" s="461"/>
      <c r="G56" s="461"/>
      <c r="H56" s="461"/>
      <c r="I56" s="461"/>
      <c r="J56" s="461"/>
      <c r="L56" s="134">
        <f>MAX(N56:S56)</f>
        <v>0</v>
      </c>
      <c r="M56" s="134"/>
      <c r="N56" s="134">
        <f>IF(AND(SUM(Skriveni!I2:I221)&lt;&gt;0,AC3="HRK"),1,0)</f>
        <v>0</v>
      </c>
      <c r="O56" s="134"/>
      <c r="Q56" s="134"/>
      <c r="R56" s="134"/>
      <c r="S56" s="134"/>
      <c r="T56" s="134"/>
      <c r="U56" s="134"/>
      <c r="V56" s="134"/>
      <c r="Z56" s="134"/>
      <c r="AA56" s="134"/>
      <c r="AB56" s="134"/>
      <c r="AC56" s="134"/>
      <c r="AD56" s="134"/>
      <c r="AE56" s="134"/>
    </row>
    <row r="57" spans="1:32" ht="5.0999999999999996" customHeight="1" x14ac:dyDescent="0.25"/>
    <row r="153" x14ac:dyDescent="0.25"/>
  </sheetData>
  <sheetProtection password="C79A" sheet="1" objects="1" scenarios="1"/>
  <mergeCells count="53">
    <mergeCell ref="C12:J12"/>
    <mergeCell ref="C9:J10"/>
    <mergeCell ref="C36:J36"/>
    <mergeCell ref="C41:J41"/>
    <mergeCell ref="A11:J11"/>
    <mergeCell ref="A9:B10"/>
    <mergeCell ref="C32:J32"/>
    <mergeCell ref="C38:J38"/>
    <mergeCell ref="C39:J39"/>
    <mergeCell ref="C35:J35"/>
    <mergeCell ref="A34:J34"/>
    <mergeCell ref="C19:J19"/>
    <mergeCell ref="C24:J24"/>
    <mergeCell ref="C14:J14"/>
    <mergeCell ref="C21:J21"/>
    <mergeCell ref="C31:J31"/>
    <mergeCell ref="A3:H8"/>
    <mergeCell ref="I8:J8"/>
    <mergeCell ref="I3:J3"/>
    <mergeCell ref="I5:J5"/>
    <mergeCell ref="I6:J6"/>
    <mergeCell ref="C42:J42"/>
    <mergeCell ref="C40:J40"/>
    <mergeCell ref="C37:J37"/>
    <mergeCell ref="C46:J46"/>
    <mergeCell ref="C43:J43"/>
    <mergeCell ref="A44:J44"/>
    <mergeCell ref="C52:J52"/>
    <mergeCell ref="C56:J56"/>
    <mergeCell ref="C55:J55"/>
    <mergeCell ref="C45:J45"/>
    <mergeCell ref="C47:J47"/>
    <mergeCell ref="C48:J48"/>
    <mergeCell ref="C49:J49"/>
    <mergeCell ref="C54:J54"/>
    <mergeCell ref="C53:J53"/>
    <mergeCell ref="C50:J50"/>
    <mergeCell ref="C51:J51"/>
    <mergeCell ref="C33:J33"/>
    <mergeCell ref="C20:J20"/>
    <mergeCell ref="C30:J30"/>
    <mergeCell ref="C28:J28"/>
    <mergeCell ref="C29:J29"/>
    <mergeCell ref="C25:J25"/>
    <mergeCell ref="C26:J26"/>
    <mergeCell ref="C27:J27"/>
    <mergeCell ref="C22:J22"/>
    <mergeCell ref="C23:J23"/>
    <mergeCell ref="C13:J13"/>
    <mergeCell ref="C18:J18"/>
    <mergeCell ref="C16:J16"/>
    <mergeCell ref="C17:J17"/>
    <mergeCell ref="C15:J15"/>
  </mergeCells>
  <phoneticPr fontId="3" type="noConversion"/>
  <conditionalFormatting sqref="B12:B33 B35:B43 B45:B56">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xr:uid="{00000000-0004-0000-0900-000000000000}"/>
    <hyperlink ref="C2" location="RefStr!A1" tooltip="Unos općih podataka na Referentnu stranicu" display="RefStr" xr:uid="{00000000-0004-0000-0900-000001000000}"/>
    <hyperlink ref="B2" location="Naslovna!A1" tooltip="Naslovna strana, unos općih podataka" display="Naslovna" xr:uid="{00000000-0004-0000-0900-000002000000}"/>
    <hyperlink ref="E2" location="RDG!A1" tooltip="Unos podataka u Račun dobiti i gubitka" display="RDG" xr:uid="{00000000-0004-0000-0900-000003000000}"/>
    <hyperlink ref="F2" location="Dodatni!A1" tooltip="Unos podataka u Dodatne podatke" display="PodDop" xr:uid="{00000000-0004-0000-0900-000004000000}"/>
    <hyperlink ref="G2" location="NT_I!A1" tooltip="Unos podataka u Novčani tijek po indirektnoj metodi" display="NT_I" xr:uid="{00000000-0004-0000-0900-000005000000}"/>
    <hyperlink ref="H2" location="NT_D!A1" tooltip="Unos podataka u Novčani tijek po direktnoj metodi" display="NT_D" xr:uid="{00000000-0004-0000-0900-000006000000}"/>
    <hyperlink ref="J2" location="Kont!A1" tooltip="Provjera pogrešaka i upozorenja na radnom listu Kontrole" display="Kont" xr:uid="{00000000-0004-0000-0900-000007000000}"/>
    <hyperlink ref="I2" location="PK!A1" tooltip="Unos podataka u obrazac Promjene kapitala" display="PK" xr:uid="{00000000-0004-0000-0900-000008000000}"/>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J9"/>
  <sheetViews>
    <sheetView showGridLines="0" showRowColHeaders="0" tabSelected="1" workbookViewId="0"/>
  </sheetViews>
  <sheetFormatPr defaultColWidth="0" defaultRowHeight="13.2" zeroHeight="1" x14ac:dyDescent="0.25"/>
  <cols>
    <col min="1" max="10" width="9.33203125" customWidth="1"/>
    <col min="11" max="11" width="0.88671875" customWidth="1"/>
  </cols>
  <sheetData>
    <row r="1" spans="1:10" ht="24.9" customHeight="1" x14ac:dyDescent="0.25">
      <c r="A1" s="93" t="s">
        <v>114</v>
      </c>
      <c r="B1" s="50" t="s">
        <v>115</v>
      </c>
      <c r="C1" s="50" t="s">
        <v>116</v>
      </c>
      <c r="D1" s="50" t="s">
        <v>117</v>
      </c>
      <c r="E1" s="50" t="s">
        <v>96</v>
      </c>
      <c r="F1" s="50" t="s">
        <v>118</v>
      </c>
      <c r="G1" s="50" t="s">
        <v>119</v>
      </c>
      <c r="H1" s="50" t="s">
        <v>120</v>
      </c>
      <c r="I1" s="50" t="s">
        <v>113</v>
      </c>
      <c r="J1" s="51" t="s">
        <v>121</v>
      </c>
    </row>
    <row r="2" spans="1:10" ht="90" customHeight="1" x14ac:dyDescent="0.25">
      <c r="A2" s="219" t="s">
        <v>122</v>
      </c>
      <c r="B2" s="220"/>
      <c r="C2" s="220"/>
      <c r="D2" s="220"/>
      <c r="E2" s="220"/>
      <c r="F2" s="220"/>
      <c r="G2" s="220"/>
      <c r="H2" s="220"/>
      <c r="I2" s="220"/>
      <c r="J2" s="221"/>
    </row>
    <row r="3" spans="1:10" ht="20.25" customHeight="1" x14ac:dyDescent="0.25">
      <c r="A3" s="225" t="s">
        <v>123</v>
      </c>
      <c r="B3" s="234"/>
      <c r="C3" s="235"/>
      <c r="D3" s="231" t="s">
        <v>124</v>
      </c>
      <c r="E3" s="232"/>
      <c r="F3" s="232"/>
      <c r="G3" s="232"/>
      <c r="H3" s="232"/>
      <c r="I3" s="232"/>
      <c r="J3" s="233"/>
    </row>
    <row r="4" spans="1:10" ht="33" customHeight="1" x14ac:dyDescent="0.25">
      <c r="A4" s="228" t="s">
        <v>125</v>
      </c>
      <c r="B4" s="229"/>
      <c r="C4" s="229"/>
      <c r="D4" s="229"/>
      <c r="E4" s="229"/>
      <c r="F4" s="229"/>
      <c r="G4" s="229"/>
      <c r="H4" s="229"/>
      <c r="I4" s="229"/>
      <c r="J4" s="230"/>
    </row>
    <row r="5" spans="1:10" ht="18.75" customHeight="1" x14ac:dyDescent="0.25">
      <c r="A5" s="49" t="s">
        <v>126</v>
      </c>
      <c r="B5" s="222" t="s">
        <v>127</v>
      </c>
      <c r="C5" s="223"/>
      <c r="D5" s="223"/>
      <c r="E5" s="223"/>
      <c r="F5" s="223"/>
      <c r="G5" s="223"/>
      <c r="H5" s="223"/>
      <c r="I5" s="223"/>
      <c r="J5" s="224"/>
    </row>
    <row r="6" spans="1:10" ht="18.75" customHeight="1" x14ac:dyDescent="0.25">
      <c r="A6" s="193" t="s">
        <v>128</v>
      </c>
      <c r="B6" s="225" t="s">
        <v>129</v>
      </c>
      <c r="C6" s="226"/>
      <c r="D6" s="226"/>
      <c r="E6" s="226"/>
      <c r="F6" s="226"/>
      <c r="G6" s="226"/>
      <c r="H6" s="226"/>
      <c r="I6" s="226"/>
      <c r="J6" s="227"/>
    </row>
    <row r="7" spans="1:10" ht="18.75" customHeight="1" x14ac:dyDescent="0.25">
      <c r="A7" s="193" t="s">
        <v>130</v>
      </c>
      <c r="B7" s="225" t="s">
        <v>131</v>
      </c>
      <c r="C7" s="226"/>
      <c r="D7" s="226"/>
      <c r="E7" s="226"/>
      <c r="F7" s="226"/>
      <c r="G7" s="226"/>
      <c r="H7" s="226"/>
      <c r="I7" s="226"/>
      <c r="J7" s="227"/>
    </row>
    <row r="8" spans="1:10" ht="18.75" customHeight="1" x14ac:dyDescent="0.25">
      <c r="A8" s="193" t="s">
        <v>132</v>
      </c>
      <c r="B8" s="225" t="s">
        <v>133</v>
      </c>
      <c r="C8" s="226"/>
      <c r="D8" s="226"/>
      <c r="E8" s="226"/>
      <c r="F8" s="226"/>
      <c r="G8" s="226"/>
      <c r="H8" s="226"/>
      <c r="I8" s="226"/>
      <c r="J8" s="227"/>
    </row>
    <row r="9" spans="1:10" ht="5.0999999999999996" customHeight="1" x14ac:dyDescent="0.25"/>
  </sheetData>
  <sheetProtection password="C79A" sheet="1" objects="1" scenarios="1"/>
  <mergeCells count="8">
    <mergeCell ref="A2:J2"/>
    <mergeCell ref="B5:J5"/>
    <mergeCell ref="B8:J8"/>
    <mergeCell ref="A4:J4"/>
    <mergeCell ref="D3:J3"/>
    <mergeCell ref="A3:C3"/>
    <mergeCell ref="B6:J6"/>
    <mergeCell ref="B7:J7"/>
  </mergeCells>
  <phoneticPr fontId="3" type="noConversion"/>
  <hyperlinks>
    <hyperlink ref="D3" r:id="rId1" display="http://www.fina.hr/Default.aspx?sec=915" xr:uid="{00000000-0004-0000-0100-000000000000}"/>
    <hyperlink ref="D1" location="Bilanca!A1" tooltip="Unos podataka u Bilancu" display="Bilanca" xr:uid="{00000000-0004-0000-0100-000001000000}"/>
    <hyperlink ref="C1" location="RefStr!A1" tooltip="Unos općih podataka na Referentnu stranicu" display="RefStr" xr:uid="{00000000-0004-0000-0100-000002000000}"/>
    <hyperlink ref="B1" location="Naslovna!A1" tooltip="Naslovna strana, unos općih podataka" display="Naslovna" xr:uid="{00000000-0004-0000-0100-000003000000}"/>
    <hyperlink ref="E1" location="RDG!A1" tooltip="Unos podataka u Račun dobiti i gubitka" display="RDG" xr:uid="{00000000-0004-0000-0100-000004000000}"/>
    <hyperlink ref="F1" location="Dodatni!A1" tooltip="Unos podataka u Dodatne podatke" display="PodDop" xr:uid="{00000000-0004-0000-0100-000005000000}"/>
    <hyperlink ref="G1" location="NT_I!A1" tooltip="Unos podataka u Novčani tijek po indirektnoj metodi" display="NT_I" xr:uid="{00000000-0004-0000-0100-000006000000}"/>
    <hyperlink ref="H1" location="NT_D!A1" tooltip="Unos podataka u Novčani tijek po direktnoj metodi" display="NT_D" xr:uid="{00000000-0004-0000-0100-000007000000}"/>
    <hyperlink ref="J1" location="Kont!A1" tooltip="Provjera pogrešaka i upozorenja na radnom listu Kontrole" display="Kont" xr:uid="{00000000-0004-0000-0100-000008000000}"/>
    <hyperlink ref="I1" location="PK!A1" tooltip="Unos podataka u obrazac Promjene kapitala" display="PK" xr:uid="{00000000-0004-0000-0100-000009000000}"/>
    <hyperlink ref="D3:J3" r:id="rId2" tooltip="Link na stranicu FINE gdje je objavljen obrazac i upute o popunjavanju" display="https://www.fina.hr/godisnji-financijski-izvjestaji/obrasci" xr:uid="{00000000-0004-0000-0100-00000A000000}"/>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Q1603"/>
  <sheetViews>
    <sheetView showGridLines="0" showRowColHeaders="0" workbookViewId="0"/>
  </sheetViews>
  <sheetFormatPr defaultColWidth="0" defaultRowHeight="13.2" zeroHeight="1" x14ac:dyDescent="0.25"/>
  <cols>
    <col min="1" max="1" width="10.6640625" style="20" customWidth="1"/>
    <col min="2" max="2" width="18.109375" style="20" customWidth="1"/>
    <col min="3" max="14" width="6.6640625" style="20" customWidth="1"/>
    <col min="15" max="15" width="2.6640625" style="20" customWidth="1"/>
    <col min="16" max="17" width="9.109375" style="41" hidden="1" customWidth="1"/>
    <col min="18" max="16384" width="9.109375" style="70" hidden="1"/>
  </cols>
  <sheetData>
    <row r="1" spans="1:17" ht="24.9" customHeight="1" x14ac:dyDescent="0.25">
      <c r="A1" s="93" t="s">
        <v>114</v>
      </c>
      <c r="B1" s="50" t="s">
        <v>115</v>
      </c>
      <c r="C1" s="50" t="s">
        <v>116</v>
      </c>
      <c r="D1" s="50" t="s">
        <v>117</v>
      </c>
      <c r="E1" s="50" t="s">
        <v>96</v>
      </c>
      <c r="F1" s="50" t="s">
        <v>118</v>
      </c>
      <c r="G1" s="50" t="s">
        <v>119</v>
      </c>
      <c r="H1" s="50" t="s">
        <v>120</v>
      </c>
      <c r="I1" s="50" t="s">
        <v>113</v>
      </c>
      <c r="J1" s="51" t="s">
        <v>121</v>
      </c>
      <c r="K1" s="94"/>
      <c r="L1" s="94"/>
      <c r="M1" s="94"/>
      <c r="N1" s="94"/>
      <c r="O1" s="3"/>
      <c r="P1" s="97"/>
      <c r="Q1" s="39" t="str">
        <f>IF(F4&lt;&gt;"",YEAR(F4),"")</f>
        <v/>
      </c>
    </row>
    <row r="2" spans="1:17" ht="60" customHeight="1" x14ac:dyDescent="0.25">
      <c r="A2" s="329" t="s">
        <v>134</v>
      </c>
      <c r="B2" s="330"/>
      <c r="C2" s="330"/>
      <c r="D2" s="330"/>
      <c r="E2" s="330"/>
      <c r="F2" s="330"/>
      <c r="G2" s="330"/>
      <c r="H2" s="330"/>
      <c r="I2" s="330"/>
      <c r="J2" s="330"/>
      <c r="K2" s="330"/>
      <c r="L2" s="330"/>
      <c r="M2" s="330"/>
      <c r="N2" s="331"/>
      <c r="O2" s="3"/>
      <c r="P2" s="97"/>
      <c r="Q2" s="40" t="str">
        <f>IF(C4&lt;&gt;"", YEAR(C4), "")</f>
        <v/>
      </c>
    </row>
    <row r="3" spans="1:17" ht="5.0999999999999996" customHeight="1" x14ac:dyDescent="0.25">
      <c r="A3" s="6"/>
      <c r="B3" s="7"/>
      <c r="C3" s="8"/>
      <c r="D3" s="7"/>
      <c r="E3" s="8"/>
      <c r="F3" s="8"/>
      <c r="G3" s="8"/>
      <c r="H3" s="8"/>
      <c r="I3" s="8"/>
      <c r="J3" s="8"/>
      <c r="K3" s="7"/>
      <c r="L3" s="7"/>
      <c r="M3" s="7"/>
      <c r="N3" s="7"/>
      <c r="O3" s="3"/>
      <c r="P3" s="97"/>
      <c r="Q3" s="97"/>
    </row>
    <row r="4" spans="1:17" ht="15" customHeight="1" x14ac:dyDescent="0.25">
      <c r="A4" s="334" t="s">
        <v>135</v>
      </c>
      <c r="B4" s="335"/>
      <c r="C4" s="324"/>
      <c r="D4" s="325"/>
      <c r="E4" s="9" t="s">
        <v>136</v>
      </c>
      <c r="F4" s="324"/>
      <c r="G4" s="325"/>
      <c r="H4" s="336" t="s">
        <v>137</v>
      </c>
      <c r="I4" s="260"/>
      <c r="J4" s="260"/>
      <c r="K4" s="260"/>
      <c r="L4" s="260"/>
      <c r="M4" s="260"/>
      <c r="N4" s="260"/>
      <c r="O4" s="3"/>
      <c r="P4" s="97"/>
      <c r="Q4" s="97"/>
    </row>
    <row r="5" spans="1:17" ht="5.0999999999999996" customHeight="1" x14ac:dyDescent="0.25">
      <c r="A5" s="5"/>
      <c r="B5" s="5"/>
      <c r="C5" s="5"/>
      <c r="D5" s="5"/>
      <c r="E5" s="10"/>
      <c r="F5" s="10"/>
      <c r="G5" s="5"/>
      <c r="H5" s="5"/>
      <c r="I5" s="5"/>
      <c r="J5" s="98"/>
      <c r="K5" s="98"/>
      <c r="L5" s="98"/>
      <c r="M5" s="98"/>
      <c r="N5" s="98"/>
      <c r="O5" s="3"/>
      <c r="P5" s="97"/>
      <c r="Q5" s="97"/>
    </row>
    <row r="6" spans="1:17" ht="14.25" customHeight="1" x14ac:dyDescent="0.25">
      <c r="A6" s="11"/>
      <c r="B6" s="5"/>
      <c r="C6" s="5"/>
      <c r="D6" s="5"/>
      <c r="E6" s="5"/>
      <c r="F6" s="5"/>
      <c r="G6" s="5"/>
      <c r="H6" s="5"/>
      <c r="I6" s="5"/>
      <c r="J6" s="98"/>
      <c r="K6" s="98"/>
      <c r="L6" s="171"/>
      <c r="M6" s="168" t="s">
        <v>138</v>
      </c>
      <c r="N6" s="172" t="s">
        <v>108</v>
      </c>
      <c r="O6" s="3"/>
      <c r="P6" s="97"/>
      <c r="Q6" s="97"/>
    </row>
    <row r="7" spans="1:17" ht="15" customHeight="1" x14ac:dyDescent="0.25">
      <c r="A7" s="332" t="s">
        <v>139</v>
      </c>
      <c r="B7" s="333"/>
      <c r="C7" s="179">
        <v>4</v>
      </c>
      <c r="D7" s="337" t="str">
        <f>IF(C7="","Vrsta poslovnog subjekta nije upisana",IF(ISNA(LOOKUP(C7,A91:A107,A91:A107)),"Upisana je nepostojeća ili neprepoznatljiva vrsta poslovnog subjekta",IF(LOOKUP(C7,A91:A107,A91:A107)&lt;&gt;C7,"Upisana je nepostojeća ili neprepoznatljiva vrsta poslovnog subjekta",LOOKUP(C7,A91:A107,B91:B107))))</f>
        <v>Dioničko društvo</v>
      </c>
      <c r="E7" s="338"/>
      <c r="F7" s="338"/>
      <c r="G7" s="338"/>
      <c r="H7" s="338"/>
      <c r="I7" s="338"/>
      <c r="J7" s="338"/>
      <c r="K7" s="338"/>
      <c r="L7" s="338"/>
      <c r="M7" s="338"/>
      <c r="N7" s="338"/>
      <c r="O7" s="3"/>
      <c r="P7" s="97"/>
      <c r="Q7" s="97"/>
    </row>
    <row r="8" spans="1:17" ht="5.0999999999999996" customHeight="1" x14ac:dyDescent="0.25">
      <c r="A8" s="99"/>
      <c r="B8" s="99"/>
      <c r="C8" s="99"/>
      <c r="D8" s="99"/>
      <c r="E8" s="100"/>
      <c r="F8" s="101"/>
      <c r="G8" s="102"/>
      <c r="H8" s="103"/>
      <c r="I8" s="103"/>
      <c r="J8" s="103"/>
      <c r="K8" s="103"/>
      <c r="L8" s="103"/>
      <c r="M8" s="103"/>
      <c r="N8" s="103"/>
      <c r="P8" s="97"/>
      <c r="Q8" s="97"/>
    </row>
    <row r="9" spans="1:17" ht="15.6" thickBot="1" x14ac:dyDescent="0.3">
      <c r="A9" s="44"/>
      <c r="B9" s="44"/>
      <c r="C9" s="44"/>
      <c r="D9" s="44"/>
      <c r="E9" s="104"/>
      <c r="F9" s="105"/>
      <c r="G9" s="106"/>
      <c r="H9" s="44"/>
      <c r="I9" s="44"/>
      <c r="J9" s="44"/>
      <c r="K9" s="44"/>
      <c r="L9" s="44"/>
      <c r="M9" s="44"/>
      <c r="N9" s="107"/>
      <c r="P9" s="97" t="s">
        <v>140</v>
      </c>
      <c r="Q9" s="217">
        <f>IF(C4&lt;&gt;"",YEAR(C4)/100+MONTH(C4)/2+DAY(C4),0)</f>
        <v>0</v>
      </c>
    </row>
    <row r="10" spans="1:17" ht="23.25" customHeight="1" thickBot="1" x14ac:dyDescent="0.3">
      <c r="A10" s="339" t="s">
        <v>141</v>
      </c>
      <c r="B10" s="340"/>
      <c r="C10" s="108"/>
      <c r="D10" s="108"/>
      <c r="E10" s="104"/>
      <c r="F10" s="105"/>
      <c r="G10" s="106"/>
      <c r="H10" s="44"/>
      <c r="I10" s="44"/>
      <c r="J10" s="44"/>
      <c r="K10" s="326" t="s">
        <v>142</v>
      </c>
      <c r="L10" s="327"/>
      <c r="M10" s="327"/>
      <c r="N10" s="328"/>
      <c r="P10" s="97" t="s">
        <v>143</v>
      </c>
      <c r="Q10" s="217">
        <f>IF(F4&lt;&gt;"",YEAR(F4)/100+MONTH(F4)/2+DAY(F4),0)</f>
        <v>0</v>
      </c>
    </row>
    <row r="11" spans="1:17" ht="50.1" customHeight="1" x14ac:dyDescent="0.25">
      <c r="A11" s="300" t="s">
        <v>144</v>
      </c>
      <c r="B11" s="301"/>
      <c r="C11" s="301"/>
      <c r="D11" s="301"/>
      <c r="E11" s="301"/>
      <c r="F11" s="301"/>
      <c r="G11" s="301"/>
      <c r="H11" s="301"/>
      <c r="I11" s="301"/>
      <c r="J11" s="301"/>
      <c r="K11" s="301"/>
      <c r="L11" s="301"/>
      <c r="M11" s="301"/>
      <c r="N11" s="301"/>
      <c r="P11" s="97" t="s">
        <v>145</v>
      </c>
      <c r="Q11" s="217">
        <f>INT(VALUE(C17))</f>
        <v>0</v>
      </c>
    </row>
    <row r="12" spans="1:17" ht="20.100000000000001" customHeight="1" x14ac:dyDescent="0.25">
      <c r="D12" s="44"/>
      <c r="E12" s="109" t="s">
        <v>146</v>
      </c>
      <c r="F12" s="312"/>
      <c r="G12" s="313"/>
      <c r="H12" s="305" t="s">
        <v>147</v>
      </c>
      <c r="I12" s="306"/>
      <c r="J12" s="306"/>
      <c r="K12" s="44"/>
      <c r="L12" s="44"/>
      <c r="M12" s="44"/>
      <c r="N12" s="44"/>
      <c r="P12" s="97" t="s">
        <v>38</v>
      </c>
      <c r="Q12" s="217">
        <f>INT(VALUE(H27))/10</f>
        <v>0</v>
      </c>
    </row>
    <row r="13" spans="1:17" ht="9.9" customHeight="1" x14ac:dyDescent="0.25">
      <c r="D13" s="44"/>
      <c r="E13" s="109"/>
      <c r="H13" s="19"/>
      <c r="I13" s="110"/>
      <c r="J13" s="110"/>
      <c r="K13" s="44"/>
      <c r="L13" s="44"/>
      <c r="M13" s="44"/>
      <c r="N13" s="44"/>
      <c r="P13" s="97" t="s">
        <v>38</v>
      </c>
      <c r="Q13" s="217">
        <f>INT(VALUE(M27))/50</f>
        <v>0</v>
      </c>
    </row>
    <row r="14" spans="1:17" ht="15" x14ac:dyDescent="0.25">
      <c r="A14" s="304" t="s">
        <v>148</v>
      </c>
      <c r="B14" s="304"/>
      <c r="C14" s="304"/>
      <c r="D14" s="44"/>
      <c r="E14" s="104"/>
      <c r="F14" s="302"/>
      <c r="G14" s="303"/>
      <c r="H14" s="303"/>
      <c r="I14" s="44"/>
      <c r="J14" s="310" t="s">
        <v>149</v>
      </c>
      <c r="K14" s="311"/>
      <c r="L14" s="311"/>
      <c r="M14" s="311"/>
      <c r="N14" s="311"/>
      <c r="P14" s="97" t="s">
        <v>39</v>
      </c>
      <c r="Q14" s="217">
        <f>INT(VALUE(C27))/100</f>
        <v>0</v>
      </c>
    </row>
    <row r="15" spans="1:17" ht="20.100000000000001" customHeight="1" x14ac:dyDescent="0.25">
      <c r="A15" s="307">
        <f>Skriveni!B59</f>
        <v>4.22</v>
      </c>
      <c r="B15" s="308"/>
      <c r="C15" s="309"/>
      <c r="D15" s="44"/>
      <c r="E15" s="44"/>
      <c r="F15" s="44"/>
      <c r="G15" s="44"/>
      <c r="H15" s="44"/>
      <c r="I15" s="44"/>
      <c r="J15" s="44"/>
      <c r="K15" s="44"/>
      <c r="L15" s="44"/>
      <c r="M15" s="44"/>
      <c r="N15" s="44"/>
      <c r="P15" s="97" t="s">
        <v>150</v>
      </c>
      <c r="Q15" s="217">
        <f>LEN(Skriveni!B9)</f>
        <v>0</v>
      </c>
    </row>
    <row r="16" spans="1:17" ht="12.9" customHeight="1" x14ac:dyDescent="0.25">
      <c r="D16" s="44"/>
      <c r="E16" s="44"/>
      <c r="F16" s="44"/>
      <c r="G16" s="44"/>
      <c r="H16" s="44"/>
      <c r="I16" s="44"/>
      <c r="P16" s="97" t="s">
        <v>151</v>
      </c>
      <c r="Q16" s="217">
        <f>INT(VALUE(C31))/100</f>
        <v>0</v>
      </c>
    </row>
    <row r="17" spans="1:17" ht="15" customHeight="1" x14ac:dyDescent="0.25">
      <c r="A17" s="238" t="s">
        <v>152</v>
      </c>
      <c r="B17" s="238"/>
      <c r="C17" s="25"/>
      <c r="D17" s="314" t="str">
        <f>IF(C17="","Vrsta izvještaja nije upisana",IF(ISNA(LOOKUP(C17,A142:A149,A142:A149)),"Upisana je nepostojeća ili neprepoznatljiva vrsta izvještaja",IF(LOOKUP(C17,A142:A149,A142:A149)&lt;&gt;C17,"Upisana je nepostojeća ili neprepoznatljiva vrsta izvještaja",LOOKUP(C17,A142:A149,B142:B149))))</f>
        <v>Vrsta izvještaja nije upisana</v>
      </c>
      <c r="E17" s="315"/>
      <c r="F17" s="315"/>
      <c r="G17" s="315"/>
      <c r="H17" s="315"/>
      <c r="I17" s="315"/>
      <c r="J17" s="315"/>
      <c r="K17" s="315"/>
      <c r="L17" s="315"/>
      <c r="M17" s="315"/>
      <c r="N17" s="315"/>
      <c r="P17" s="97" t="s">
        <v>153</v>
      </c>
      <c r="Q17" s="217">
        <f>LEN(Skriveni!B11)</f>
        <v>0</v>
      </c>
    </row>
    <row r="18" spans="1:17" ht="8.1" customHeight="1" x14ac:dyDescent="0.25">
      <c r="A18" s="44"/>
      <c r="B18" s="44"/>
      <c r="C18" s="44"/>
      <c r="D18" s="315"/>
      <c r="E18" s="315"/>
      <c r="F18" s="315"/>
      <c r="G18" s="315"/>
      <c r="H18" s="315"/>
      <c r="I18" s="315"/>
      <c r="J18" s="315"/>
      <c r="K18" s="315"/>
      <c r="L18" s="315"/>
      <c r="M18" s="315"/>
      <c r="N18" s="315"/>
      <c r="P18" s="97"/>
      <c r="Q18" s="217"/>
    </row>
    <row r="19" spans="1:17" ht="15" customHeight="1" x14ac:dyDescent="0.25">
      <c r="A19" s="238" t="s">
        <v>154</v>
      </c>
      <c r="B19" s="238"/>
      <c r="C19" s="26"/>
      <c r="D19" s="239" t="str">
        <f>IF(C19="","Svrha predaje nije upisana",IF(ISNA(LOOKUP(C19,A118:A120,A118:A120)),"Nepostojeća ili neprepoznatljiva svrha predaje",IF(LOOKUP(C19,A118:A120,A118:A120)&lt;&gt;C19,"Nepostojeća ili neprepoznatljiva svrha predaje",LOOKUP(C19,A118:A120,B118:B120))))</f>
        <v>Svrha predaje nije upisana</v>
      </c>
      <c r="E19" s="240"/>
      <c r="F19" s="240"/>
      <c r="G19" s="240"/>
      <c r="H19" s="240"/>
      <c r="I19" s="241" t="s">
        <v>155</v>
      </c>
      <c r="J19" s="242"/>
      <c r="K19" s="242"/>
      <c r="L19" s="242"/>
      <c r="M19" s="242"/>
      <c r="N19" s="26" t="s">
        <v>156</v>
      </c>
      <c r="P19" s="97" t="s">
        <v>157</v>
      </c>
      <c r="Q19" s="217">
        <f>LEN(Skriveni!B12)</f>
        <v>0</v>
      </c>
    </row>
    <row r="20" spans="1:17" ht="5.0999999999999996" customHeight="1" x14ac:dyDescent="0.25">
      <c r="A20" s="12"/>
      <c r="B20" s="12"/>
      <c r="C20" s="24"/>
      <c r="I20" s="24"/>
      <c r="M20" s="96"/>
      <c r="N20" s="96"/>
      <c r="P20" s="97"/>
      <c r="Q20" s="217"/>
    </row>
    <row r="21" spans="1:17" ht="15" customHeight="1" x14ac:dyDescent="0.25">
      <c r="A21" s="236" t="s">
        <v>158</v>
      </c>
      <c r="B21" s="296"/>
      <c r="C21" s="26"/>
      <c r="D21" s="133" t="s">
        <v>159</v>
      </c>
      <c r="E21" s="238" t="s">
        <v>160</v>
      </c>
      <c r="F21" s="260"/>
      <c r="G21" s="260"/>
      <c r="H21" s="286"/>
      <c r="I21" s="26"/>
      <c r="J21" s="246" t="s">
        <v>161</v>
      </c>
      <c r="K21" s="242"/>
      <c r="L21" s="247"/>
      <c r="M21" s="248"/>
      <c r="N21" s="295"/>
      <c r="P21" s="97" t="s">
        <v>162</v>
      </c>
      <c r="Q21" s="217">
        <f>INT(VALUE(C39))</f>
        <v>0</v>
      </c>
    </row>
    <row r="22" spans="1:17" ht="5.0999999999999996" customHeight="1" x14ac:dyDescent="0.25">
      <c r="A22" s="18"/>
      <c r="B22" s="18"/>
      <c r="C22" s="18"/>
      <c r="D22" s="18"/>
      <c r="E22" s="18"/>
      <c r="F22" s="18"/>
      <c r="G22" s="18"/>
      <c r="H22" s="18"/>
      <c r="I22" s="18"/>
      <c r="J22" s="18"/>
      <c r="K22" s="18"/>
      <c r="L22" s="18"/>
      <c r="M22" s="18"/>
      <c r="N22" s="18"/>
      <c r="P22" s="97"/>
      <c r="Q22" s="217"/>
    </row>
    <row r="23" spans="1:17" ht="15" customHeight="1" x14ac:dyDescent="0.25">
      <c r="A23" s="342" t="s">
        <v>163</v>
      </c>
      <c r="B23" s="343"/>
      <c r="C23" s="163">
        <v>1</v>
      </c>
      <c r="D23" s="344" t="str">
        <f>IF(C23="","Šifra obveznosti nije upisana",IF(ISNA(LOOKUP(C23,A111:A114,A111:A114)),"Upisana je nepostojeća ili neprepoznatljiva šifra obveznosti",IF(LOOKUP(C23,A111:A114,A111:A114)&lt;&gt;C23,"Upisana je nepostojeća ili neprepoznatljiva šifra obveznosti",LOOKUP(C23,A111:A114,B111:B114))))</f>
        <v>Obveza predaje nefinancijskog izvješća u primjeni tek za 2017. godinu</v>
      </c>
      <c r="E23" s="345"/>
      <c r="F23" s="345"/>
      <c r="G23" s="345"/>
      <c r="H23" s="345"/>
      <c r="I23" s="345"/>
      <c r="J23" s="345"/>
      <c r="K23" s="345"/>
      <c r="L23" s="345"/>
      <c r="M23" s="345"/>
      <c r="N23" s="345"/>
      <c r="P23" s="97" t="s">
        <v>164</v>
      </c>
      <c r="Q23" s="217">
        <f>INT(VALUE(C42))</f>
        <v>0</v>
      </c>
    </row>
    <row r="24" spans="1:17" ht="9.9" customHeight="1" x14ac:dyDescent="0.25">
      <c r="A24" s="343"/>
      <c r="B24" s="343"/>
      <c r="C24" s="44"/>
      <c r="D24" s="111"/>
      <c r="E24" s="111"/>
      <c r="F24" s="111"/>
      <c r="G24" s="111"/>
      <c r="H24" s="12"/>
      <c r="I24" s="12"/>
      <c r="J24" s="12"/>
      <c r="K24" s="12"/>
      <c r="L24" s="12"/>
      <c r="M24" s="12"/>
      <c r="N24" s="12"/>
      <c r="P24" s="97"/>
      <c r="Q24" s="217"/>
    </row>
    <row r="25" spans="1:17" ht="6" customHeight="1" thickBot="1" x14ac:dyDescent="0.3">
      <c r="A25" s="29"/>
      <c r="B25" s="29"/>
      <c r="C25" s="112"/>
      <c r="D25" s="113"/>
      <c r="E25" s="113"/>
      <c r="F25" s="113"/>
      <c r="G25" s="113"/>
      <c r="H25" s="113"/>
      <c r="I25" s="113"/>
      <c r="J25" s="113"/>
      <c r="K25" s="29"/>
      <c r="L25" s="113"/>
      <c r="M25" s="113"/>
      <c r="N25" s="114"/>
      <c r="P25" s="97"/>
      <c r="Q25" s="217"/>
    </row>
    <row r="26" spans="1:17" ht="6" customHeight="1" x14ac:dyDescent="0.25">
      <c r="A26" s="115"/>
      <c r="B26" s="115"/>
      <c r="C26" s="116"/>
      <c r="D26" s="117"/>
      <c r="E26" s="117"/>
      <c r="F26" s="117"/>
      <c r="G26" s="117"/>
      <c r="H26" s="117"/>
      <c r="I26" s="117"/>
      <c r="J26" s="117"/>
      <c r="K26" s="117"/>
      <c r="L26" s="117"/>
      <c r="M26" s="117"/>
      <c r="N26" s="117"/>
      <c r="P26" s="97"/>
      <c r="Q26" s="217"/>
    </row>
    <row r="27" spans="1:17" ht="15" customHeight="1" x14ac:dyDescent="0.25">
      <c r="A27" s="236" t="s">
        <v>165</v>
      </c>
      <c r="B27" s="237"/>
      <c r="C27" s="247"/>
      <c r="D27" s="347"/>
      <c r="E27" s="249"/>
      <c r="F27" s="236" t="s">
        <v>166</v>
      </c>
      <c r="G27" s="297"/>
      <c r="H27" s="247"/>
      <c r="I27" s="346"/>
      <c r="J27" s="236" t="s">
        <v>167</v>
      </c>
      <c r="K27" s="296"/>
      <c r="L27" s="296"/>
      <c r="M27" s="247"/>
      <c r="N27" s="346"/>
      <c r="P27" s="97" t="s">
        <v>168</v>
      </c>
      <c r="Q27" s="217">
        <f>IF(C21="DA", 1, 0)</f>
        <v>0</v>
      </c>
    </row>
    <row r="28" spans="1:17" ht="9.9" customHeight="1" x14ac:dyDescent="0.25">
      <c r="A28" s="44"/>
      <c r="B28" s="44"/>
      <c r="C28" s="44"/>
      <c r="D28" s="44"/>
      <c r="E28" s="44"/>
      <c r="F28" s="245" t="s">
        <v>169</v>
      </c>
      <c r="G28" s="245"/>
      <c r="H28" s="245"/>
      <c r="I28" s="245"/>
      <c r="J28" s="245" t="s">
        <v>170</v>
      </c>
      <c r="K28" s="245"/>
      <c r="L28" s="245"/>
      <c r="M28" s="245"/>
      <c r="N28" s="245"/>
      <c r="P28" s="97"/>
      <c r="Q28" s="217"/>
    </row>
    <row r="29" spans="1:17" ht="15" customHeight="1" x14ac:dyDescent="0.25">
      <c r="A29" s="238" t="s">
        <v>171</v>
      </c>
      <c r="B29" s="238"/>
      <c r="C29" s="289"/>
      <c r="D29" s="298"/>
      <c r="E29" s="298"/>
      <c r="F29" s="298"/>
      <c r="G29" s="298"/>
      <c r="H29" s="298"/>
      <c r="I29" s="298"/>
      <c r="J29" s="298"/>
      <c r="K29" s="298"/>
      <c r="L29" s="299"/>
      <c r="M29" s="44"/>
      <c r="N29" s="44"/>
      <c r="P29" s="97" t="s">
        <v>172</v>
      </c>
      <c r="Q29" s="217">
        <f>IF(I21="DA",1,0)</f>
        <v>0</v>
      </c>
    </row>
    <row r="30" spans="1:17" ht="5.0999999999999996" customHeight="1" x14ac:dyDescent="0.25">
      <c r="A30" s="44"/>
      <c r="B30" s="44"/>
      <c r="C30" s="46"/>
      <c r="D30" s="44"/>
      <c r="E30" s="44"/>
      <c r="F30" s="44"/>
      <c r="G30" s="44"/>
      <c r="H30" s="44"/>
      <c r="I30" s="44"/>
      <c r="J30" s="44"/>
      <c r="K30" s="44"/>
      <c r="L30" s="44"/>
      <c r="M30" s="44"/>
      <c r="N30" s="44"/>
      <c r="P30" s="97"/>
      <c r="Q30" s="217"/>
    </row>
    <row r="31" spans="1:17" ht="15" customHeight="1" x14ac:dyDescent="0.25">
      <c r="A31" s="238" t="s">
        <v>173</v>
      </c>
      <c r="B31" s="238"/>
      <c r="C31" s="52"/>
      <c r="D31" s="287" t="s">
        <v>174</v>
      </c>
      <c r="E31" s="288"/>
      <c r="F31" s="289"/>
      <c r="G31" s="290"/>
      <c r="H31" s="290"/>
      <c r="I31" s="290"/>
      <c r="J31" s="290"/>
      <c r="K31" s="290"/>
      <c r="L31" s="291"/>
      <c r="N31" s="44"/>
      <c r="P31" s="97" t="s">
        <v>175</v>
      </c>
      <c r="Q31" s="217">
        <f>INT(VALUE(C19))</f>
        <v>0</v>
      </c>
    </row>
    <row r="32" spans="1:17" ht="5.0999999999999996" customHeight="1" x14ac:dyDescent="0.25">
      <c r="A32" s="44"/>
      <c r="B32" s="44"/>
      <c r="C32" s="44"/>
      <c r="D32" s="44"/>
      <c r="E32" s="44"/>
      <c r="F32" s="44"/>
      <c r="G32" s="44"/>
      <c r="H32" s="44"/>
      <c r="I32" s="44"/>
      <c r="J32" s="44"/>
      <c r="K32" s="44"/>
      <c r="L32" s="44"/>
      <c r="M32" s="44"/>
      <c r="N32" s="44"/>
      <c r="P32" s="97"/>
      <c r="Q32" s="217"/>
    </row>
    <row r="33" spans="1:17" ht="15" customHeight="1" x14ac:dyDescent="0.25">
      <c r="A33" s="238" t="s">
        <v>176</v>
      </c>
      <c r="B33" s="238"/>
      <c r="C33" s="289"/>
      <c r="D33" s="298"/>
      <c r="E33" s="298"/>
      <c r="F33" s="298"/>
      <c r="G33" s="298"/>
      <c r="H33" s="298"/>
      <c r="I33" s="298"/>
      <c r="J33" s="298"/>
      <c r="K33" s="298"/>
      <c r="L33" s="299"/>
      <c r="M33" s="44"/>
      <c r="N33" s="44"/>
      <c r="P33" s="97" t="s">
        <v>177</v>
      </c>
      <c r="Q33" s="217">
        <f>INT(VALUE(Skriveni!B21))</f>
        <v>3</v>
      </c>
    </row>
    <row r="34" spans="1:17" ht="5.0999999999999996" customHeight="1" x14ac:dyDescent="0.25">
      <c r="A34" s="44"/>
      <c r="B34" s="44"/>
      <c r="C34" s="44"/>
      <c r="D34" s="44"/>
      <c r="E34" s="44"/>
      <c r="F34" s="44"/>
      <c r="G34" s="44"/>
      <c r="H34" s="44"/>
      <c r="I34" s="44"/>
      <c r="J34" s="44"/>
      <c r="K34" s="44"/>
      <c r="L34" s="44"/>
      <c r="M34" s="44"/>
      <c r="N34" s="44"/>
      <c r="P34" s="97"/>
      <c r="Q34" s="217"/>
    </row>
    <row r="35" spans="1:17" ht="15" customHeight="1" x14ac:dyDescent="0.25">
      <c r="A35" s="238" t="s">
        <v>178</v>
      </c>
      <c r="B35" s="238"/>
      <c r="C35" s="292"/>
      <c r="D35" s="293"/>
      <c r="E35" s="293"/>
      <c r="F35" s="293"/>
      <c r="G35" s="293"/>
      <c r="H35" s="293"/>
      <c r="I35" s="294"/>
      <c r="J35" s="238" t="s">
        <v>179</v>
      </c>
      <c r="K35" s="241"/>
      <c r="L35" s="247"/>
      <c r="M35" s="248"/>
      <c r="N35" s="249"/>
      <c r="O35" s="97"/>
      <c r="P35" s="97" t="s">
        <v>53</v>
      </c>
      <c r="Q35" s="217">
        <f>INT(VALUE(C52))</f>
        <v>0</v>
      </c>
    </row>
    <row r="36" spans="1:17" ht="5.0999999999999996" customHeight="1" x14ac:dyDescent="0.25">
      <c r="A36" s="44"/>
      <c r="B36" s="44"/>
      <c r="C36" s="46"/>
      <c r="D36" s="44"/>
      <c r="E36" s="44"/>
      <c r="F36" s="44"/>
      <c r="G36" s="44"/>
      <c r="H36" s="44"/>
      <c r="I36" s="44"/>
      <c r="J36" s="44"/>
      <c r="K36" s="44"/>
      <c r="L36" s="44"/>
      <c r="M36" s="44"/>
      <c r="N36" s="44"/>
      <c r="P36" s="97"/>
      <c r="Q36" s="217"/>
    </row>
    <row r="37" spans="1:17" ht="15" customHeight="1" x14ac:dyDescent="0.25">
      <c r="A37" s="238" t="s">
        <v>180</v>
      </c>
      <c r="B37" s="238"/>
      <c r="C37" s="285"/>
      <c r="D37" s="269"/>
      <c r="E37" s="269"/>
      <c r="F37" s="269"/>
      <c r="G37" s="269"/>
      <c r="H37" s="269"/>
      <c r="I37" s="270"/>
      <c r="P37" s="97" t="s">
        <v>181</v>
      </c>
      <c r="Q37" s="217">
        <f>C54*2+F54</f>
        <v>0</v>
      </c>
    </row>
    <row r="38" spans="1:17" ht="5.0999999999999996" customHeight="1" x14ac:dyDescent="0.25">
      <c r="A38" s="44"/>
      <c r="B38" s="44"/>
      <c r="C38" s="46"/>
      <c r="D38" s="44"/>
      <c r="E38" s="44"/>
      <c r="F38" s="44"/>
      <c r="G38" s="44"/>
      <c r="H38" s="44"/>
      <c r="I38" s="44"/>
      <c r="J38" s="44"/>
      <c r="K38" s="44"/>
      <c r="L38" s="44"/>
      <c r="M38" s="44"/>
      <c r="N38" s="44"/>
      <c r="P38" s="97"/>
      <c r="Q38" s="217"/>
    </row>
    <row r="39" spans="1:17" ht="15" customHeight="1" x14ac:dyDescent="0.25">
      <c r="A39" s="238" t="s">
        <v>182</v>
      </c>
      <c r="B39" s="238"/>
      <c r="C39" s="30"/>
      <c r="D39" s="348" t="str">
        <f>IF(C39="","Šifra grada/općine nije upisana",IF(ISNA(LOOKUP(C39,A177:A732,A177:A732)),"Šifra grada/općine ne postoji",IF(LOOKUP(C39,A177:A732,A177:A732)&lt;&gt;C39,"Šifra grada/općine ne postoji",LOOKUP(C39,A177:A732,B177:B732))))</f>
        <v>Šifra grada/općine nije upisana</v>
      </c>
      <c r="E39" s="349"/>
      <c r="F39" s="349"/>
      <c r="G39" s="349"/>
      <c r="H39" s="236" t="s">
        <v>183</v>
      </c>
      <c r="I39" s="296"/>
      <c r="J39" s="42" t="str">
        <f>IF(C39&gt;0,LOOKUP(C39,A177:A732,C177:C732),"")</f>
        <v/>
      </c>
      <c r="K39" s="350" t="str">
        <f>IF(J39="","Treba prvo upisati šifru grada/općine",LOOKUP(J39,A153:A173,B153:B173))</f>
        <v>Treba prvo upisati šifru grada/općine</v>
      </c>
      <c r="L39" s="350"/>
      <c r="M39" s="350"/>
      <c r="N39" s="350"/>
      <c r="P39" s="97" t="s">
        <v>184</v>
      </c>
      <c r="Q39" s="217">
        <f>C56+2*F56+3*C58+4*F58</f>
        <v>0</v>
      </c>
    </row>
    <row r="40" spans="1:17" ht="6" customHeight="1" thickBot="1" x14ac:dyDescent="0.3">
      <c r="A40" s="118"/>
      <c r="B40" s="118"/>
      <c r="C40" s="119"/>
      <c r="D40" s="120"/>
      <c r="E40" s="121"/>
      <c r="F40" s="121"/>
      <c r="G40" s="121"/>
      <c r="H40" s="27"/>
      <c r="I40" s="122"/>
      <c r="J40" s="122"/>
      <c r="K40" s="122"/>
      <c r="L40" s="122"/>
      <c r="M40" s="122"/>
      <c r="N40" s="122"/>
      <c r="P40" s="97"/>
      <c r="Q40" s="217"/>
    </row>
    <row r="41" spans="1:17" ht="6" customHeight="1" x14ac:dyDescent="0.25">
      <c r="A41" s="123"/>
      <c r="B41" s="123"/>
      <c r="C41" s="115"/>
      <c r="D41" s="124"/>
      <c r="E41" s="125"/>
      <c r="F41" s="125"/>
      <c r="G41" s="125"/>
      <c r="H41" s="28"/>
      <c r="I41" s="126"/>
      <c r="J41" s="126"/>
      <c r="K41" s="126"/>
      <c r="L41" s="126"/>
      <c r="M41" s="126"/>
      <c r="N41" s="126"/>
      <c r="P41" s="97"/>
      <c r="Q41" s="217"/>
    </row>
    <row r="42" spans="1:17" ht="15" customHeight="1" x14ac:dyDescent="0.25">
      <c r="A42" s="238" t="s">
        <v>185</v>
      </c>
      <c r="B42" s="238"/>
      <c r="C42" s="31"/>
      <c r="D42" s="281" t="str">
        <f>IF(C42="","Šifra NKD-a nije upisana",IF(ISNA(LOOKUP(C42,A736:A1351,A736:A1351)),"Šifra NKD-a ne postoji",IF(LOOKUP(C42,A736:A1351,A736:A1351)&lt;&gt;C42,"Šifra NKD-a ne postoji",LOOKUP(C42,A736:A1351,B736:B1351))))</f>
        <v>Šifra NKD-a nije upisana</v>
      </c>
      <c r="E42" s="282"/>
      <c r="F42" s="282"/>
      <c r="G42" s="282"/>
      <c r="H42" s="282"/>
      <c r="I42" s="282"/>
      <c r="J42" s="282"/>
      <c r="K42" s="282"/>
      <c r="L42" s="282"/>
      <c r="M42" s="282"/>
      <c r="N42" s="282"/>
      <c r="P42" s="97" t="s">
        <v>186</v>
      </c>
      <c r="Q42" s="217">
        <f>C60*2+F60</f>
        <v>0</v>
      </c>
    </row>
    <row r="43" spans="1:17" ht="5.0999999999999996" customHeight="1" x14ac:dyDescent="0.25">
      <c r="A43" s="44"/>
      <c r="B43" s="44"/>
      <c r="C43" s="44"/>
      <c r="D43" s="44"/>
      <c r="E43" s="44"/>
      <c r="F43" s="44"/>
      <c r="G43" s="44"/>
      <c r="H43" s="44"/>
      <c r="I43" s="44"/>
      <c r="J43" s="44"/>
      <c r="K43" s="44"/>
      <c r="L43" s="44"/>
      <c r="M43" s="44"/>
      <c r="N43" s="44"/>
      <c r="P43" s="97"/>
      <c r="Q43" s="217"/>
    </row>
    <row r="44" spans="1:17" ht="5.0999999999999996" customHeight="1" x14ac:dyDescent="0.25">
      <c r="A44" s="271" t="s">
        <v>187</v>
      </c>
      <c r="B44" s="271"/>
      <c r="C44" s="177"/>
      <c r="D44" s="273" t="str">
        <f>IF(C44="","Status autonomnosti nije upisan",IF(ISNA(LOOKUP(C44,A131:A138,A131:A138)),"Upisana je nepostojeća ili neprepoznatljiva šifra statusa autonomnosti",IF(LOOKUP(C44,A131:A138,A131:A138)&lt;&gt;C44,"Upisana je nepostojeća ili neprepoznatljiva šifra statusa autonomnosti",LOOKUP(C44,A131:A138,B131:B138))))</f>
        <v>Status autonomnosti nije upisan</v>
      </c>
      <c r="E44" s="273"/>
      <c r="F44" s="273"/>
      <c r="G44" s="273"/>
      <c r="H44" s="273"/>
      <c r="I44" s="273"/>
      <c r="J44" s="273"/>
      <c r="K44" s="273"/>
      <c r="L44" s="273"/>
      <c r="M44" s="273"/>
      <c r="N44" s="273"/>
      <c r="P44" s="97" t="s">
        <v>76</v>
      </c>
      <c r="Q44" s="217">
        <f>LEN(Skriveni!B43)</f>
        <v>0</v>
      </c>
    </row>
    <row r="45" spans="1:17" ht="5.0999999999999996" customHeight="1" x14ac:dyDescent="0.25">
      <c r="A45" s="173"/>
      <c r="B45" s="173"/>
      <c r="C45" s="40"/>
      <c r="D45" s="174"/>
      <c r="E45" s="167"/>
      <c r="F45" s="167"/>
      <c r="G45" s="167"/>
      <c r="H45" s="175"/>
      <c r="I45" s="176"/>
      <c r="J45" s="176"/>
      <c r="K45" s="176"/>
      <c r="L45" s="176"/>
      <c r="M45" s="176"/>
      <c r="N45" s="176"/>
      <c r="P45" s="97"/>
      <c r="Q45" s="217"/>
    </row>
    <row r="46" spans="1:17" ht="5.0999999999999996" customHeight="1" x14ac:dyDescent="0.25">
      <c r="A46" s="256" t="s">
        <v>188</v>
      </c>
      <c r="B46" s="256"/>
      <c r="C46" s="178"/>
      <c r="D46" s="258" t="str">
        <f>IF(C46="","",IF(ISNA(LOOKUP(C46,A1355:A1603,A1355:A1603)),"Šifra države nepostojeća",IF(LOOKUP(C46,A1355:A1603,A1355:A1603)&lt;&gt;C46,"Šifra države nepostojeća",LOOKUP(C46,A1355:A1603,B1355:B1603))))</f>
        <v/>
      </c>
      <c r="E46" s="258"/>
      <c r="F46" s="258"/>
      <c r="G46" s="258"/>
      <c r="H46" s="258"/>
      <c r="I46" s="258"/>
      <c r="J46" s="256" t="s">
        <v>189</v>
      </c>
      <c r="K46" s="257"/>
      <c r="L46" s="257"/>
      <c r="M46" s="255"/>
      <c r="N46" s="255"/>
      <c r="P46" s="97" t="s">
        <v>190</v>
      </c>
      <c r="Q46" s="218">
        <f>INT(VALUE(L21))/100</f>
        <v>0</v>
      </c>
    </row>
    <row r="47" spans="1:17" ht="5.0999999999999996" customHeight="1" x14ac:dyDescent="0.25">
      <c r="A47" s="257"/>
      <c r="B47" s="257"/>
      <c r="C47" s="40"/>
      <c r="D47" s="174"/>
      <c r="E47" s="167"/>
      <c r="F47" s="167"/>
      <c r="G47" s="167"/>
      <c r="H47" s="175"/>
      <c r="I47" s="176"/>
      <c r="J47" s="257"/>
      <c r="K47" s="257"/>
      <c r="L47" s="257"/>
      <c r="M47" s="176"/>
      <c r="N47" s="176"/>
      <c r="P47" s="97"/>
      <c r="Q47" s="97"/>
    </row>
    <row r="48" spans="1:17" ht="6" customHeight="1" thickBot="1" x14ac:dyDescent="0.3">
      <c r="A48" s="118"/>
      <c r="B48" s="118"/>
      <c r="C48" s="119"/>
      <c r="D48" s="120"/>
      <c r="E48" s="121"/>
      <c r="F48" s="121"/>
      <c r="G48" s="121"/>
      <c r="H48" s="27"/>
      <c r="I48" s="122"/>
      <c r="J48" s="122"/>
      <c r="K48" s="122"/>
      <c r="L48" s="122"/>
      <c r="M48" s="122"/>
      <c r="N48" s="122"/>
      <c r="P48" s="97"/>
      <c r="Q48" s="97"/>
    </row>
    <row r="49" spans="1:17" ht="6" customHeight="1" x14ac:dyDescent="0.25">
      <c r="A49" s="123"/>
      <c r="B49" s="123"/>
      <c r="C49" s="115"/>
      <c r="D49" s="124"/>
      <c r="E49" s="125"/>
      <c r="F49" s="125"/>
      <c r="G49" s="125"/>
      <c r="H49" s="28"/>
      <c r="I49" s="126"/>
      <c r="J49" s="126"/>
      <c r="K49" s="126"/>
      <c r="L49" s="126"/>
      <c r="M49" s="126"/>
      <c r="N49" s="126"/>
      <c r="P49" s="97"/>
      <c r="Q49" s="97"/>
    </row>
    <row r="50" spans="1:17" ht="15" customHeight="1" x14ac:dyDescent="0.25">
      <c r="A50" s="264" t="s">
        <v>191</v>
      </c>
      <c r="B50" s="264"/>
      <c r="C50" s="169">
        <v>4</v>
      </c>
      <c r="D50" s="278" t="str">
        <f>IF(C50="","Oznaka veličine nije upisana",IF(ISNA(LOOKUP(C50,A124:A127,A124:A127)),"Nepostojeća oznaka veličine",IF(LOOKUP(C50,A124:A127,A124:A127)&lt;&gt;C50,"Nepostojeća oznaka veličine",LOOKUP(C50,A124:A127,B124:B127))))</f>
        <v>Veliki poduzetnik (definirano Zakonom)</v>
      </c>
      <c r="E50" s="279"/>
      <c r="F50" s="279"/>
      <c r="G50" s="279"/>
      <c r="H50" s="279"/>
      <c r="I50" s="276" t="s">
        <v>192</v>
      </c>
      <c r="J50" s="277"/>
      <c r="K50" s="277"/>
      <c r="O50" s="127"/>
      <c r="P50" s="97" t="s">
        <v>193</v>
      </c>
      <c r="Q50" s="70">
        <f>IF(N6="DA",0.1,IF(N6="NE",0.2,0))</f>
        <v>0.1</v>
      </c>
    </row>
    <row r="51" spans="1:17" ht="5.0999999999999996" customHeight="1" x14ac:dyDescent="0.25">
      <c r="A51" s="44"/>
      <c r="B51" s="44"/>
      <c r="C51" s="44"/>
      <c r="D51" s="111"/>
      <c r="E51" s="111"/>
      <c r="F51" s="111"/>
      <c r="G51" s="111"/>
      <c r="H51" s="128"/>
      <c r="I51" s="44"/>
      <c r="J51" s="127"/>
      <c r="K51" s="127"/>
      <c r="L51" s="127"/>
      <c r="M51" s="127"/>
      <c r="N51" s="127"/>
      <c r="O51" s="127"/>
      <c r="P51" s="97"/>
      <c r="Q51" s="97"/>
    </row>
    <row r="52" spans="1:17" ht="15" customHeight="1" x14ac:dyDescent="0.25">
      <c r="A52" s="238" t="s">
        <v>194</v>
      </c>
      <c r="B52" s="238"/>
      <c r="C52" s="32"/>
      <c r="D52" s="280" t="str">
        <f>IF(C52="","Oznaka vlasništva nije upisana",IF(ISNA(LOOKUP(C52,A80:A87,A80:A87)),"Nepostojeća oznaka vlasništva",IF(LOOKUP(C52,A80:A87,A80:A87)&lt;&gt;C52,"Nepostojeća oznaka vlasništva",LOOKUP(C52,A80:A87,B80:B87))))</f>
        <v>Oznaka vlasništva nije upisana</v>
      </c>
      <c r="E52" s="260"/>
      <c r="F52" s="260"/>
      <c r="G52" s="260"/>
      <c r="H52" s="260"/>
      <c r="I52" s="4" t="str">
        <f>IF(OR(Bilanca!Q1=1,RDG!Q1=1,N6="NE"),"DA","NE")</f>
        <v>NE</v>
      </c>
      <c r="J52" s="243" t="s">
        <v>195</v>
      </c>
      <c r="K52" s="244"/>
      <c r="L52" s="244"/>
      <c r="M52" s="244"/>
      <c r="N52" s="244"/>
      <c r="O52" s="127"/>
      <c r="P52" s="97" t="s">
        <v>196</v>
      </c>
      <c r="Q52" s="97">
        <f>IF(N19="HSFI",1.1,IF(N19="MSFI",1.2,0))</f>
        <v>1.1000000000000001</v>
      </c>
    </row>
    <row r="53" spans="1:17" ht="5.0999999999999996" customHeight="1" x14ac:dyDescent="0.25">
      <c r="A53" s="44"/>
      <c r="B53" s="44"/>
      <c r="C53" s="44"/>
      <c r="D53" s="111"/>
      <c r="E53" s="111"/>
      <c r="F53" s="111"/>
      <c r="G53" s="111"/>
      <c r="H53" s="128"/>
      <c r="I53" s="44"/>
      <c r="J53" s="129"/>
      <c r="K53" s="129"/>
      <c r="L53" s="129"/>
      <c r="M53" s="129"/>
      <c r="N53" s="129"/>
      <c r="O53" s="127"/>
      <c r="P53" s="97"/>
      <c r="Q53" s="97"/>
    </row>
    <row r="54" spans="1:17" ht="15" customHeight="1" x14ac:dyDescent="0.25">
      <c r="A54" s="238" t="s">
        <v>197</v>
      </c>
      <c r="B54" s="238"/>
      <c r="C54" s="30"/>
      <c r="D54" s="43" t="s">
        <v>198</v>
      </c>
      <c r="F54" s="30"/>
      <c r="G54" s="43" t="s">
        <v>199</v>
      </c>
      <c r="H54" s="44"/>
      <c r="I54" s="4" t="str">
        <f>IF(OR(Dodatni!Q1=1,AND(N6="NE",C19&lt;&gt;2)),"DA","NE")</f>
        <v>NE</v>
      </c>
      <c r="J54" s="243" t="s">
        <v>200</v>
      </c>
      <c r="K54" s="244"/>
      <c r="L54" s="244"/>
      <c r="M54" s="244"/>
      <c r="N54" s="244"/>
      <c r="O54" s="127"/>
      <c r="P54" s="97" t="s">
        <v>201</v>
      </c>
      <c r="Q54" s="97">
        <f>C44/10</f>
        <v>0</v>
      </c>
    </row>
    <row r="55" spans="1:17" ht="5.0999999999999996" customHeight="1" x14ac:dyDescent="0.25">
      <c r="A55" s="274" t="s">
        <v>202</v>
      </c>
      <c r="B55" s="275"/>
      <c r="D55" s="45"/>
      <c r="F55" s="46"/>
      <c r="G55" s="46"/>
      <c r="H55" s="46"/>
      <c r="I55" s="46"/>
      <c r="J55" s="129"/>
      <c r="K55" s="129"/>
      <c r="L55" s="129"/>
      <c r="M55" s="129"/>
      <c r="N55" s="129"/>
      <c r="O55" s="127"/>
      <c r="P55" s="97"/>
      <c r="Q55" s="97"/>
    </row>
    <row r="56" spans="1:17" ht="15" customHeight="1" x14ac:dyDescent="0.25">
      <c r="A56" s="275"/>
      <c r="B56" s="275"/>
      <c r="C56" s="180">
        <v>0</v>
      </c>
      <c r="D56" s="283" t="s">
        <v>203</v>
      </c>
      <c r="E56" s="284"/>
      <c r="F56" s="180">
        <v>0</v>
      </c>
      <c r="G56" s="283" t="s">
        <v>204</v>
      </c>
      <c r="H56" s="341"/>
      <c r="I56" s="151" t="s">
        <v>86</v>
      </c>
      <c r="J56" s="272" t="s">
        <v>205</v>
      </c>
      <c r="K56" s="244"/>
      <c r="L56" s="244"/>
      <c r="M56" s="244"/>
      <c r="N56" s="244"/>
      <c r="O56" s="127"/>
      <c r="P56" s="97" t="s">
        <v>206</v>
      </c>
      <c r="Q56" s="97">
        <f>C46/20</f>
        <v>0</v>
      </c>
    </row>
    <row r="57" spans="1:17" ht="5.0999999999999996" customHeight="1" x14ac:dyDescent="0.25">
      <c r="A57" s="275"/>
      <c r="B57" s="275"/>
      <c r="G57" s="47"/>
      <c r="H57" s="47"/>
      <c r="I57" s="46"/>
      <c r="J57" s="129"/>
      <c r="K57" s="129"/>
      <c r="L57" s="129"/>
      <c r="M57" s="129"/>
      <c r="N57" s="129"/>
      <c r="O57" s="127"/>
      <c r="P57" s="97"/>
      <c r="Q57" s="97"/>
    </row>
    <row r="58" spans="1:17" ht="15" customHeight="1" x14ac:dyDescent="0.25">
      <c r="A58" s="274" t="s">
        <v>207</v>
      </c>
      <c r="B58" s="274"/>
      <c r="C58" s="180">
        <v>0</v>
      </c>
      <c r="D58" s="341" t="s">
        <v>203</v>
      </c>
      <c r="E58" s="341"/>
      <c r="F58" s="180">
        <v>0</v>
      </c>
      <c r="G58" s="341" t="s">
        <v>204</v>
      </c>
      <c r="H58" s="341"/>
      <c r="I58" s="4" t="str">
        <f>IF(OR(NT_I!Q1&lt;&gt;0,NT_D!Q1&lt;&gt;0),"DA", "NE")</f>
        <v>NE</v>
      </c>
      <c r="J58" s="243" t="s">
        <v>208</v>
      </c>
      <c r="K58" s="244"/>
      <c r="L58" s="244"/>
      <c r="M58" s="244"/>
      <c r="N58" s="244"/>
      <c r="O58" s="127"/>
      <c r="P58" s="97" t="s">
        <v>209</v>
      </c>
      <c r="Q58" s="97">
        <f>IF(ISERROR(INT(M46)),LEN(M46),INT(M46)/100)</f>
        <v>0</v>
      </c>
    </row>
    <row r="59" spans="1:17" ht="5.0999999999999996" customHeight="1" x14ac:dyDescent="0.25">
      <c r="A59" s="274"/>
      <c r="B59" s="274"/>
      <c r="G59" s="48"/>
      <c r="H59" s="48"/>
      <c r="I59" s="130"/>
      <c r="J59" s="129"/>
      <c r="K59" s="129"/>
      <c r="L59" s="129"/>
      <c r="M59" s="129"/>
      <c r="N59" s="129"/>
      <c r="O59" s="127"/>
      <c r="P59" s="97"/>
      <c r="Q59" s="97"/>
    </row>
    <row r="60" spans="1:17" ht="15" customHeight="1" x14ac:dyDescent="0.25">
      <c r="A60" s="236" t="s">
        <v>210</v>
      </c>
      <c r="B60" s="236"/>
      <c r="C60" s="33"/>
      <c r="D60" s="266" t="s">
        <v>203</v>
      </c>
      <c r="E60" s="266"/>
      <c r="F60" s="33"/>
      <c r="G60" s="266" t="s">
        <v>204</v>
      </c>
      <c r="H60" s="266"/>
      <c r="I60" s="4" t="str">
        <f>IF(PK!T1=1,"DA","NE")</f>
        <v>NE</v>
      </c>
      <c r="J60" s="244" t="s">
        <v>211</v>
      </c>
      <c r="K60" s="244"/>
      <c r="L60" s="244"/>
      <c r="M60" s="244"/>
      <c r="N60" s="244"/>
      <c r="O60" s="127"/>
      <c r="P60" s="97" t="s">
        <v>212</v>
      </c>
      <c r="Q60" s="97">
        <f>C23/50</f>
        <v>0.02</v>
      </c>
    </row>
    <row r="61" spans="1:17" ht="9.9" customHeight="1" thickBot="1" x14ac:dyDescent="0.3">
      <c r="A61" s="44"/>
      <c r="B61" s="44"/>
      <c r="I61" s="44"/>
      <c r="J61" s="129"/>
      <c r="K61" s="129"/>
      <c r="L61" s="129"/>
      <c r="M61" s="129"/>
      <c r="N61" s="129"/>
      <c r="O61" s="127"/>
      <c r="P61" s="97"/>
      <c r="Q61" s="97"/>
    </row>
    <row r="62" spans="1:17" ht="15" customHeight="1" x14ac:dyDescent="0.25">
      <c r="A62" s="131" t="s">
        <v>213</v>
      </c>
      <c r="B62" s="131"/>
      <c r="C62" s="131"/>
      <c r="D62" s="131"/>
      <c r="I62" s="151" t="s">
        <v>86</v>
      </c>
      <c r="J62" s="272" t="s">
        <v>214</v>
      </c>
      <c r="K62" s="244"/>
      <c r="L62" s="244"/>
      <c r="M62" s="244"/>
      <c r="N62" s="244"/>
      <c r="O62" s="127"/>
      <c r="P62" s="97"/>
      <c r="Q62" s="97"/>
    </row>
    <row r="63" spans="1:17" ht="5.0999999999999996" customHeight="1" x14ac:dyDescent="0.25">
      <c r="A63" s="44"/>
      <c r="B63" s="44"/>
      <c r="C63" s="46"/>
      <c r="D63" s="44"/>
      <c r="E63" s="46"/>
      <c r="F63" s="44"/>
      <c r="G63" s="44"/>
      <c r="H63" s="44"/>
      <c r="I63" s="44"/>
      <c r="J63" s="129"/>
      <c r="K63" s="129"/>
      <c r="L63" s="129"/>
      <c r="M63" s="129"/>
      <c r="N63" s="129"/>
      <c r="O63" s="127"/>
      <c r="P63" s="97"/>
      <c r="Q63" s="97"/>
    </row>
    <row r="64" spans="1:17" ht="15" customHeight="1" x14ac:dyDescent="0.25">
      <c r="A64" s="35" t="s">
        <v>215</v>
      </c>
      <c r="B64" s="31"/>
      <c r="C64" s="267" t="s">
        <v>216</v>
      </c>
      <c r="D64" s="260"/>
      <c r="E64" s="260"/>
      <c r="F64" s="260"/>
      <c r="G64" s="44"/>
      <c r="H64" s="44"/>
      <c r="I64" s="151" t="s">
        <v>86</v>
      </c>
      <c r="J64" s="272" t="s">
        <v>217</v>
      </c>
      <c r="K64" s="244"/>
      <c r="L64" s="244"/>
      <c r="M64" s="244"/>
      <c r="N64" s="244"/>
      <c r="O64" s="127"/>
      <c r="P64" s="97"/>
      <c r="Q64" s="97"/>
    </row>
    <row r="65" spans="1:15" ht="5.0999999999999996" customHeight="1" x14ac:dyDescent="0.25">
      <c r="A65" s="96"/>
      <c r="B65" s="96"/>
      <c r="G65" s="44"/>
      <c r="H65" s="44"/>
      <c r="I65" s="44"/>
      <c r="J65" s="129"/>
      <c r="K65" s="129"/>
      <c r="L65" s="129"/>
      <c r="M65" s="129"/>
      <c r="N65" s="129"/>
      <c r="O65" s="127"/>
    </row>
    <row r="66" spans="1:15" ht="15" customHeight="1" x14ac:dyDescent="0.25">
      <c r="A66" s="34" t="s">
        <v>218</v>
      </c>
      <c r="B66" s="268"/>
      <c r="C66" s="269"/>
      <c r="D66" s="269"/>
      <c r="E66" s="269"/>
      <c r="F66" s="269"/>
      <c r="G66" s="270"/>
      <c r="H66" s="132"/>
      <c r="I66" s="151" t="s">
        <v>86</v>
      </c>
      <c r="J66" s="244" t="s">
        <v>219</v>
      </c>
      <c r="K66" s="244"/>
      <c r="L66" s="244"/>
      <c r="M66" s="244"/>
      <c r="N66" s="244"/>
      <c r="O66" s="127"/>
    </row>
    <row r="67" spans="1:15" ht="11.1" customHeight="1" x14ac:dyDescent="0.25">
      <c r="C67" s="263"/>
      <c r="D67" s="262"/>
      <c r="E67" s="262"/>
      <c r="F67" s="262"/>
      <c r="G67" s="262"/>
      <c r="H67" s="260"/>
      <c r="I67" s="44"/>
      <c r="J67" s="265"/>
      <c r="K67" s="265"/>
      <c r="L67" s="265"/>
      <c r="M67" s="265"/>
      <c r="N67" s="265"/>
      <c r="O67" s="127"/>
    </row>
    <row r="68" spans="1:15" ht="15" customHeight="1" x14ac:dyDescent="0.25">
      <c r="A68" s="236" t="s">
        <v>220</v>
      </c>
      <c r="B68" s="318"/>
      <c r="C68" s="289"/>
      <c r="D68" s="253"/>
      <c r="E68" s="253"/>
      <c r="F68" s="253"/>
      <c r="G68" s="254"/>
      <c r="H68" s="132"/>
      <c r="I68" s="151" t="s">
        <v>86</v>
      </c>
      <c r="J68" s="244" t="s">
        <v>221</v>
      </c>
      <c r="K68" s="244"/>
      <c r="L68" s="244"/>
      <c r="M68" s="244"/>
      <c r="N68" s="244"/>
      <c r="O68" s="24"/>
    </row>
    <row r="69" spans="1:15" ht="9.9" customHeight="1" x14ac:dyDescent="0.25">
      <c r="C69" s="261" t="s">
        <v>222</v>
      </c>
      <c r="D69" s="262"/>
      <c r="E69" s="262"/>
      <c r="F69" s="262"/>
      <c r="G69" s="262"/>
      <c r="H69" s="260"/>
      <c r="I69" s="44"/>
      <c r="J69" s="265"/>
      <c r="K69" s="265"/>
      <c r="L69" s="265"/>
      <c r="M69" s="265"/>
      <c r="N69" s="265"/>
      <c r="O69" s="24"/>
    </row>
    <row r="70" spans="1:15" ht="15" customHeight="1" x14ac:dyDescent="0.25">
      <c r="A70" s="236" t="s">
        <v>223</v>
      </c>
      <c r="B70" s="318"/>
      <c r="C70" s="319"/>
      <c r="D70" s="320"/>
      <c r="E70" s="321"/>
      <c r="F70" s="44"/>
      <c r="G70" s="44"/>
      <c r="H70" s="44"/>
      <c r="I70" s="44"/>
      <c r="J70" s="44"/>
      <c r="K70" s="44"/>
      <c r="L70" s="44"/>
      <c r="M70" s="44"/>
      <c r="N70" s="44"/>
      <c r="O70" s="24"/>
    </row>
    <row r="71" spans="1:15" ht="9.9" customHeight="1" x14ac:dyDescent="0.25">
      <c r="A71" s="44"/>
      <c r="B71" s="44"/>
      <c r="C71" s="259" t="s">
        <v>224</v>
      </c>
      <c r="D71" s="260"/>
      <c r="E71" s="260"/>
      <c r="F71" s="260"/>
      <c r="G71" s="260"/>
      <c r="H71" s="260"/>
      <c r="I71" s="44"/>
      <c r="J71" s="44"/>
      <c r="K71" s="44"/>
      <c r="L71" s="44"/>
      <c r="M71" s="44"/>
      <c r="N71" s="44"/>
    </row>
    <row r="72" spans="1:15" ht="15" customHeight="1" x14ac:dyDescent="0.25">
      <c r="A72" s="236" t="s">
        <v>225</v>
      </c>
      <c r="B72" s="318"/>
      <c r="C72" s="252"/>
      <c r="D72" s="253"/>
      <c r="E72" s="253"/>
      <c r="F72" s="253"/>
      <c r="G72" s="253"/>
      <c r="H72" s="254"/>
      <c r="I72" s="44"/>
      <c r="J72" s="44"/>
      <c r="K72" s="44"/>
      <c r="N72" s="13" t="str">
        <f xml:space="preserve"> "Verzija Excel datoteke: " &amp; MID(Skriveni!B4,1,1) &amp; "." &amp; MID(Skriveni!B4,2,1) &amp; "." &amp; MID(Skriveni!B4,3,1) &amp; "."</f>
        <v>Verzija Excel datoteke: 4.0.2.</v>
      </c>
    </row>
    <row r="73" spans="1:15" ht="9.9" customHeight="1" x14ac:dyDescent="0.25">
      <c r="A73" s="18"/>
      <c r="B73" s="18"/>
      <c r="C73" s="261" t="s">
        <v>226</v>
      </c>
      <c r="D73" s="261"/>
      <c r="E73" s="261"/>
      <c r="F73" s="261"/>
      <c r="G73" s="261"/>
      <c r="H73" s="261"/>
      <c r="I73" s="18"/>
      <c r="J73" s="18"/>
      <c r="K73" s="18"/>
      <c r="L73" s="18"/>
      <c r="M73" s="18"/>
      <c r="N73" s="18"/>
    </row>
    <row r="74" spans="1:15" ht="30" customHeight="1" x14ac:dyDescent="0.25">
      <c r="A74" s="44"/>
      <c r="B74" s="44"/>
      <c r="C74" s="44"/>
      <c r="D74" s="44"/>
      <c r="E74" s="44"/>
      <c r="F74" s="44"/>
      <c r="G74" s="44"/>
      <c r="H74" s="44"/>
      <c r="I74" s="44"/>
      <c r="J74" s="44"/>
      <c r="K74" s="44"/>
      <c r="L74" s="44"/>
      <c r="M74" s="44"/>
      <c r="N74" s="44"/>
    </row>
    <row r="75" spans="1:15" ht="15" customHeight="1" thickBot="1" x14ac:dyDescent="0.3">
      <c r="A75" s="319"/>
      <c r="B75" s="253"/>
      <c r="C75" s="253"/>
      <c r="D75" s="253"/>
      <c r="E75" s="254"/>
      <c r="I75" s="44"/>
      <c r="J75" s="44"/>
      <c r="K75" s="44"/>
      <c r="L75" s="44"/>
      <c r="M75" s="44"/>
      <c r="N75" s="44"/>
    </row>
    <row r="76" spans="1:15" ht="9.9" customHeight="1" x14ac:dyDescent="0.25">
      <c r="A76" s="322" t="s">
        <v>227</v>
      </c>
      <c r="B76" s="323"/>
      <c r="C76" s="323"/>
      <c r="D76" s="323"/>
      <c r="E76" s="323"/>
      <c r="I76" s="44"/>
      <c r="J76" s="316" t="s">
        <v>228</v>
      </c>
      <c r="K76" s="317"/>
      <c r="L76" s="317"/>
      <c r="M76" s="317"/>
      <c r="N76" s="317"/>
    </row>
    <row r="77" spans="1:15" ht="15" customHeight="1" x14ac:dyDescent="0.25">
      <c r="B77" s="44"/>
      <c r="C77" s="44"/>
      <c r="D77" s="44"/>
      <c r="E77" s="44"/>
      <c r="F77" s="44"/>
      <c r="G77" s="44"/>
      <c r="H77" s="181" t="s">
        <v>229</v>
      </c>
      <c r="M77" s="44"/>
      <c r="N77" s="44"/>
    </row>
    <row r="78" spans="1:15" ht="12" customHeight="1" x14ac:dyDescent="0.25">
      <c r="A78" s="250" t="str">
        <f ca="1" xml:space="preserve"> IF(ISERROR(Kont!J4),"Postoje neke pogreške u Excel datoteci, takva neće moći biti učitana!!!",IF(Kont!J4&gt;0, "Obrazac još uvijek sadrži neke pogreške! Ako ste završili s popunjavanjem, provjerite radni list Kont. Broj pogreški: " &amp; Kont!J4,""))</f>
        <v>Obrazac još uvijek sadrži neke pogreške! Ako ste završili s popunjavanjem, provjerite radni list Kont. Broj pogreški: 22</v>
      </c>
      <c r="B78" s="251"/>
      <c r="C78" s="251"/>
      <c r="D78" s="251"/>
      <c r="E78" s="251"/>
      <c r="F78" s="251"/>
      <c r="G78" s="251"/>
      <c r="H78" s="251"/>
      <c r="I78" s="251"/>
      <c r="J78" s="251"/>
      <c r="K78" s="251"/>
      <c r="L78" s="251"/>
      <c r="M78" s="251"/>
      <c r="N78" s="251"/>
    </row>
    <row r="79" spans="1:15" ht="5.0999999999999996" customHeight="1" x14ac:dyDescent="0.25"/>
    <row r="80" spans="1:15" hidden="1" x14ac:dyDescent="0.25">
      <c r="A80" s="20">
        <v>11</v>
      </c>
      <c r="B80" s="20" t="s">
        <v>230</v>
      </c>
    </row>
    <row r="81" spans="1:2" hidden="1" x14ac:dyDescent="0.25">
      <c r="A81" s="20">
        <v>12</v>
      </c>
      <c r="B81" s="20" t="s">
        <v>231</v>
      </c>
    </row>
    <row r="82" spans="1:2" hidden="1" x14ac:dyDescent="0.25">
      <c r="A82" s="20">
        <v>13</v>
      </c>
      <c r="B82" s="20" t="s">
        <v>232</v>
      </c>
    </row>
    <row r="83" spans="1:2" hidden="1" x14ac:dyDescent="0.25">
      <c r="A83" s="20">
        <v>21</v>
      </c>
      <c r="B83" s="20" t="s">
        <v>233</v>
      </c>
    </row>
    <row r="84" spans="1:2" hidden="1" x14ac:dyDescent="0.25">
      <c r="A84" s="20">
        <v>22</v>
      </c>
      <c r="B84" s="20" t="s">
        <v>234</v>
      </c>
    </row>
    <row r="85" spans="1:2" hidden="1" x14ac:dyDescent="0.25">
      <c r="A85" s="20">
        <v>31</v>
      </c>
      <c r="B85" s="20" t="s">
        <v>235</v>
      </c>
    </row>
    <row r="86" spans="1:2" hidden="1" x14ac:dyDescent="0.25">
      <c r="A86" s="20">
        <v>41</v>
      </c>
      <c r="B86" s="20" t="s">
        <v>236</v>
      </c>
    </row>
    <row r="87" spans="1:2" hidden="1" x14ac:dyDescent="0.25">
      <c r="A87" s="20">
        <v>42</v>
      </c>
      <c r="B87" s="20" t="s">
        <v>237</v>
      </c>
    </row>
    <row r="88" spans="1:2" ht="12" hidden="1" customHeight="1" x14ac:dyDescent="0.25"/>
    <row r="89" spans="1:2" ht="12" hidden="1" customHeight="1" x14ac:dyDescent="0.25"/>
    <row r="90" spans="1:2" ht="12" hidden="1" customHeight="1" x14ac:dyDescent="0.25"/>
    <row r="91" spans="1:2" ht="12" hidden="1" customHeight="1" x14ac:dyDescent="0.25">
      <c r="A91" s="20">
        <v>1</v>
      </c>
      <c r="B91" s="20" t="s">
        <v>238</v>
      </c>
    </row>
    <row r="92" spans="1:2" ht="12" hidden="1" customHeight="1" x14ac:dyDescent="0.25">
      <c r="A92" s="20">
        <v>2</v>
      </c>
      <c r="B92" s="20" t="s">
        <v>239</v>
      </c>
    </row>
    <row r="93" spans="1:2" ht="12" hidden="1" customHeight="1" x14ac:dyDescent="0.25">
      <c r="A93" s="20">
        <v>3</v>
      </c>
      <c r="B93" s="20" t="s">
        <v>240</v>
      </c>
    </row>
    <row r="94" spans="1:2" ht="12" hidden="1" customHeight="1" x14ac:dyDescent="0.25">
      <c r="A94" s="20">
        <v>4</v>
      </c>
      <c r="B94" s="20" t="s">
        <v>241</v>
      </c>
    </row>
    <row r="95" spans="1:2" ht="12" hidden="1" customHeight="1" x14ac:dyDescent="0.25">
      <c r="A95" s="20">
        <v>5</v>
      </c>
      <c r="B95" s="20" t="s">
        <v>242</v>
      </c>
    </row>
    <row r="96" spans="1:2" ht="12" hidden="1" customHeight="1" x14ac:dyDescent="0.25">
      <c r="A96" s="20">
        <v>6</v>
      </c>
      <c r="B96" s="20" t="s">
        <v>243</v>
      </c>
    </row>
    <row r="97" spans="1:2" ht="12" hidden="1" customHeight="1" x14ac:dyDescent="0.25">
      <c r="A97" s="20">
        <v>7</v>
      </c>
      <c r="B97" s="20" t="s">
        <v>244</v>
      </c>
    </row>
    <row r="98" spans="1:2" ht="12" hidden="1" customHeight="1" x14ac:dyDescent="0.25">
      <c r="A98" s="20">
        <v>8</v>
      </c>
      <c r="B98" s="20" t="s">
        <v>245</v>
      </c>
    </row>
    <row r="99" spans="1:2" ht="12" hidden="1" customHeight="1" x14ac:dyDescent="0.25">
      <c r="A99" s="20">
        <v>9</v>
      </c>
      <c r="B99" s="20" t="s">
        <v>246</v>
      </c>
    </row>
    <row r="100" spans="1:2" ht="12" hidden="1" customHeight="1" x14ac:dyDescent="0.25">
      <c r="A100" s="20">
        <v>10</v>
      </c>
      <c r="B100" s="20" t="s">
        <v>247</v>
      </c>
    </row>
    <row r="101" spans="1:2" ht="12" hidden="1" customHeight="1" x14ac:dyDescent="0.25">
      <c r="A101" s="20">
        <v>11</v>
      </c>
      <c r="B101" s="20" t="s">
        <v>248</v>
      </c>
    </row>
    <row r="102" spans="1:2" ht="12" hidden="1" customHeight="1" x14ac:dyDescent="0.25">
      <c r="A102" s="20">
        <v>12</v>
      </c>
      <c r="B102" s="20" t="s">
        <v>249</v>
      </c>
    </row>
    <row r="103" spans="1:2" ht="12" hidden="1" customHeight="1" x14ac:dyDescent="0.25">
      <c r="A103" s="20">
        <v>13</v>
      </c>
      <c r="B103" s="20" t="s">
        <v>250</v>
      </c>
    </row>
    <row r="104" spans="1:2" ht="12" hidden="1" customHeight="1" x14ac:dyDescent="0.25">
      <c r="A104" s="20">
        <v>14</v>
      </c>
      <c r="B104" s="20" t="s">
        <v>251</v>
      </c>
    </row>
    <row r="105" spans="1:2" ht="12" hidden="1" customHeight="1" x14ac:dyDescent="0.25">
      <c r="A105" s="20">
        <v>15</v>
      </c>
      <c r="B105" s="20" t="s">
        <v>252</v>
      </c>
    </row>
    <row r="106" spans="1:2" ht="12" hidden="1" customHeight="1" x14ac:dyDescent="0.25">
      <c r="A106" s="20">
        <v>16</v>
      </c>
      <c r="B106" s="20" t="s">
        <v>253</v>
      </c>
    </row>
    <row r="107" spans="1:2" ht="12" hidden="1" customHeight="1" x14ac:dyDescent="0.25">
      <c r="A107" s="20">
        <v>99</v>
      </c>
      <c r="B107" s="20" t="s">
        <v>254</v>
      </c>
    </row>
    <row r="108" spans="1:2" ht="12" hidden="1" customHeight="1" x14ac:dyDescent="0.25"/>
    <row r="109" spans="1:2" ht="12" hidden="1" customHeight="1" x14ac:dyDescent="0.25"/>
    <row r="110" spans="1:2" ht="12" hidden="1" customHeight="1" x14ac:dyDescent="0.25"/>
    <row r="111" spans="1:2" hidden="1" x14ac:dyDescent="0.25">
      <c r="A111" s="20">
        <v>1</v>
      </c>
      <c r="B111" s="20" t="str">
        <f>IF(F12&gt;2016,"Poduzetnik nije obveznik predaje nefinancijskog izvješća","Obveza predaje nefinancijskog izvješća u primjeni tek za 2017. godinu")</f>
        <v>Obveza predaje nefinancijskog izvješća u primjeni tek za 2017. godinu</v>
      </c>
    </row>
    <row r="112" spans="1:2" hidden="1" x14ac:dyDescent="0.25">
      <c r="A112" s="20">
        <v>2</v>
      </c>
      <c r="B112" s="20" t="s">
        <v>255</v>
      </c>
    </row>
    <row r="113" spans="1:2" hidden="1" x14ac:dyDescent="0.25">
      <c r="A113" s="20">
        <v>3</v>
      </c>
      <c r="B113" s="20" t="s">
        <v>256</v>
      </c>
    </row>
    <row r="114" spans="1:2" hidden="1" x14ac:dyDescent="0.25">
      <c r="A114" s="20">
        <v>4</v>
      </c>
      <c r="B114" s="20" t="s">
        <v>257</v>
      </c>
    </row>
    <row r="118" spans="1:2" hidden="1" x14ac:dyDescent="0.25">
      <c r="A118" s="20">
        <v>1</v>
      </c>
      <c r="B118" s="20" t="s">
        <v>258</v>
      </c>
    </row>
    <row r="119" spans="1:2" hidden="1" x14ac:dyDescent="0.25">
      <c r="A119" s="20">
        <v>2</v>
      </c>
      <c r="B119" s="20" t="s">
        <v>259</v>
      </c>
    </row>
    <row r="120" spans="1:2" hidden="1" x14ac:dyDescent="0.25">
      <c r="A120" s="20">
        <v>3</v>
      </c>
      <c r="B120" s="20" t="s">
        <v>260</v>
      </c>
    </row>
    <row r="124" spans="1:2" hidden="1" x14ac:dyDescent="0.25">
      <c r="A124" s="20">
        <v>1</v>
      </c>
      <c r="B124" s="20" t="s">
        <v>261</v>
      </c>
    </row>
    <row r="125" spans="1:2" hidden="1" x14ac:dyDescent="0.25">
      <c r="A125" s="20">
        <v>2</v>
      </c>
      <c r="B125" s="20" t="s">
        <v>262</v>
      </c>
    </row>
    <row r="126" spans="1:2" hidden="1" x14ac:dyDescent="0.25">
      <c r="A126" s="20">
        <v>3</v>
      </c>
      <c r="B126" s="20" t="s">
        <v>263</v>
      </c>
    </row>
    <row r="127" spans="1:2" hidden="1" x14ac:dyDescent="0.25">
      <c r="A127" s="20">
        <v>4</v>
      </c>
      <c r="B127" s="20" t="s">
        <v>264</v>
      </c>
    </row>
    <row r="131" spans="1:2" hidden="1" x14ac:dyDescent="0.25">
      <c r="A131" s="20">
        <v>1</v>
      </c>
      <c r="B131" s="20" t="s">
        <v>265</v>
      </c>
    </row>
    <row r="132" spans="1:2" hidden="1" x14ac:dyDescent="0.25">
      <c r="A132" s="20">
        <v>2</v>
      </c>
      <c r="B132" s="20" t="s">
        <v>266</v>
      </c>
    </row>
    <row r="133" spans="1:2" hidden="1" x14ac:dyDescent="0.25">
      <c r="A133" s="20">
        <v>3</v>
      </c>
      <c r="B133" s="20" t="s">
        <v>267</v>
      </c>
    </row>
    <row r="134" spans="1:2" hidden="1" x14ac:dyDescent="0.25">
      <c r="A134" s="20">
        <v>5</v>
      </c>
      <c r="B134" s="20" t="s">
        <v>268</v>
      </c>
    </row>
    <row r="135" spans="1:2" hidden="1" x14ac:dyDescent="0.25">
      <c r="A135" s="20">
        <v>6</v>
      </c>
      <c r="B135" s="20" t="s">
        <v>269</v>
      </c>
    </row>
    <row r="136" spans="1:2" hidden="1" x14ac:dyDescent="0.25">
      <c r="A136" s="20">
        <v>7</v>
      </c>
      <c r="B136" s="20" t="s">
        <v>270</v>
      </c>
    </row>
    <row r="137" spans="1:2" hidden="1" x14ac:dyDescent="0.25">
      <c r="A137" s="20">
        <v>9</v>
      </c>
      <c r="B137" s="20" t="s">
        <v>271</v>
      </c>
    </row>
    <row r="138" spans="1:2" hidden="1" x14ac:dyDescent="0.25">
      <c r="A138" s="20">
        <v>10</v>
      </c>
      <c r="B138" s="20" t="s">
        <v>272</v>
      </c>
    </row>
    <row r="142" spans="1:2" hidden="1" x14ac:dyDescent="0.25">
      <c r="A142" s="20">
        <v>10</v>
      </c>
      <c r="B142" s="20" t="s">
        <v>273</v>
      </c>
    </row>
    <row r="143" spans="1:2" hidden="1" x14ac:dyDescent="0.25">
      <c r="A143" s="20">
        <v>11</v>
      </c>
      <c r="B143" s="20" t="s">
        <v>274</v>
      </c>
    </row>
    <row r="144" spans="1:2" hidden="1" x14ac:dyDescent="0.25">
      <c r="A144" s="20">
        <v>20</v>
      </c>
      <c r="B144" s="20" t="s">
        <v>275</v>
      </c>
    </row>
    <row r="145" spans="1:2" hidden="1" x14ac:dyDescent="0.25">
      <c r="A145" s="20">
        <v>21</v>
      </c>
      <c r="B145" s="20" t="s">
        <v>276</v>
      </c>
    </row>
    <row r="146" spans="1:2" hidden="1" x14ac:dyDescent="0.25">
      <c r="A146" s="20">
        <v>30</v>
      </c>
      <c r="B146" s="20" t="s">
        <v>277</v>
      </c>
    </row>
    <row r="147" spans="1:2" hidden="1" x14ac:dyDescent="0.25">
      <c r="A147" s="20">
        <v>31</v>
      </c>
      <c r="B147" s="20" t="s">
        <v>278</v>
      </c>
    </row>
    <row r="148" spans="1:2" hidden="1" x14ac:dyDescent="0.25">
      <c r="A148" s="20">
        <v>40</v>
      </c>
      <c r="B148" s="20" t="s">
        <v>279</v>
      </c>
    </row>
    <row r="149" spans="1:2" hidden="1" x14ac:dyDescent="0.25">
      <c r="A149" s="20">
        <v>50</v>
      </c>
      <c r="B149" s="20" t="s">
        <v>280</v>
      </c>
    </row>
    <row r="153" spans="1:2" hidden="1" x14ac:dyDescent="0.25">
      <c r="A153" s="20">
        <v>1</v>
      </c>
      <c r="B153" s="20" t="s">
        <v>281</v>
      </c>
    </row>
    <row r="154" spans="1:2" hidden="1" x14ac:dyDescent="0.25">
      <c r="A154" s="20">
        <v>2</v>
      </c>
      <c r="B154" s="20" t="s">
        <v>282</v>
      </c>
    </row>
    <row r="155" spans="1:2" hidden="1" x14ac:dyDescent="0.25">
      <c r="A155" s="20">
        <v>3</v>
      </c>
      <c r="B155" s="20" t="s">
        <v>283</v>
      </c>
    </row>
    <row r="156" spans="1:2" hidden="1" x14ac:dyDescent="0.25">
      <c r="A156" s="20">
        <v>4</v>
      </c>
      <c r="B156" s="20" t="s">
        <v>284</v>
      </c>
    </row>
    <row r="157" spans="1:2" hidden="1" x14ac:dyDescent="0.25">
      <c r="A157" s="20">
        <v>5</v>
      </c>
      <c r="B157" s="20" t="s">
        <v>285</v>
      </c>
    </row>
    <row r="158" spans="1:2" hidden="1" x14ac:dyDescent="0.25">
      <c r="A158" s="20">
        <v>6</v>
      </c>
      <c r="B158" s="20" t="s">
        <v>286</v>
      </c>
    </row>
    <row r="159" spans="1:2" hidden="1" x14ac:dyDescent="0.25">
      <c r="A159" s="20">
        <v>7</v>
      </c>
      <c r="B159" s="20" t="s">
        <v>287</v>
      </c>
    </row>
    <row r="160" spans="1:2" hidden="1" x14ac:dyDescent="0.25">
      <c r="A160" s="20">
        <v>8</v>
      </c>
      <c r="B160" s="20" t="s">
        <v>288</v>
      </c>
    </row>
    <row r="161" spans="1:2" hidden="1" x14ac:dyDescent="0.25">
      <c r="A161" s="20">
        <v>9</v>
      </c>
      <c r="B161" s="20" t="s">
        <v>289</v>
      </c>
    </row>
    <row r="162" spans="1:2" hidden="1" x14ac:dyDescent="0.25">
      <c r="A162" s="20">
        <v>10</v>
      </c>
      <c r="B162" s="20" t="s">
        <v>290</v>
      </c>
    </row>
    <row r="163" spans="1:2" hidden="1" x14ac:dyDescent="0.25">
      <c r="A163" s="20">
        <v>11</v>
      </c>
      <c r="B163" s="20" t="s">
        <v>291</v>
      </c>
    </row>
    <row r="164" spans="1:2" hidden="1" x14ac:dyDescent="0.25">
      <c r="A164" s="20">
        <v>12</v>
      </c>
      <c r="B164" s="20" t="s">
        <v>292</v>
      </c>
    </row>
    <row r="165" spans="1:2" hidden="1" x14ac:dyDescent="0.25">
      <c r="A165" s="20">
        <v>13</v>
      </c>
      <c r="B165" s="20" t="s">
        <v>293</v>
      </c>
    </row>
    <row r="166" spans="1:2" hidden="1" x14ac:dyDescent="0.25">
      <c r="A166" s="20">
        <v>14</v>
      </c>
      <c r="B166" s="20" t="s">
        <v>294</v>
      </c>
    </row>
    <row r="167" spans="1:2" hidden="1" x14ac:dyDescent="0.25">
      <c r="A167" s="20">
        <v>15</v>
      </c>
      <c r="B167" s="20" t="s">
        <v>295</v>
      </c>
    </row>
    <row r="168" spans="1:2" hidden="1" x14ac:dyDescent="0.25">
      <c r="A168" s="20">
        <v>16</v>
      </c>
      <c r="B168" s="20" t="s">
        <v>296</v>
      </c>
    </row>
    <row r="169" spans="1:2" hidden="1" x14ac:dyDescent="0.25">
      <c r="A169" s="20">
        <v>17</v>
      </c>
      <c r="B169" s="20" t="s">
        <v>297</v>
      </c>
    </row>
    <row r="170" spans="1:2" hidden="1" x14ac:dyDescent="0.25">
      <c r="A170" s="20">
        <v>18</v>
      </c>
      <c r="B170" s="20" t="s">
        <v>298</v>
      </c>
    </row>
    <row r="171" spans="1:2" hidden="1" x14ac:dyDescent="0.25">
      <c r="A171" s="20">
        <v>19</v>
      </c>
      <c r="B171" s="20" t="s">
        <v>299</v>
      </c>
    </row>
    <row r="172" spans="1:2" hidden="1" x14ac:dyDescent="0.25">
      <c r="A172" s="20">
        <v>20</v>
      </c>
      <c r="B172" s="20" t="s">
        <v>300</v>
      </c>
    </row>
    <row r="173" spans="1:2" hidden="1" x14ac:dyDescent="0.25">
      <c r="A173" s="20">
        <v>21</v>
      </c>
      <c r="B173" s="20" t="s">
        <v>301</v>
      </c>
    </row>
    <row r="177" spans="1:3" hidden="1" x14ac:dyDescent="0.25">
      <c r="A177" s="20">
        <v>1</v>
      </c>
      <c r="B177" s="20" t="s">
        <v>302</v>
      </c>
      <c r="C177" s="20">
        <v>16</v>
      </c>
    </row>
    <row r="178" spans="1:3" hidden="1" x14ac:dyDescent="0.25">
      <c r="A178" s="20">
        <v>2</v>
      </c>
      <c r="B178" s="20" t="s">
        <v>303</v>
      </c>
      <c r="C178" s="20">
        <v>14</v>
      </c>
    </row>
    <row r="179" spans="1:3" hidden="1" x14ac:dyDescent="0.25">
      <c r="A179" s="20">
        <v>3</v>
      </c>
      <c r="B179" s="20" t="s">
        <v>304</v>
      </c>
      <c r="C179" s="20">
        <v>16</v>
      </c>
    </row>
    <row r="180" spans="1:3" hidden="1" x14ac:dyDescent="0.25">
      <c r="A180" s="20">
        <v>4</v>
      </c>
      <c r="B180" s="20" t="s">
        <v>305</v>
      </c>
      <c r="C180" s="20">
        <v>8</v>
      </c>
    </row>
    <row r="181" spans="1:3" hidden="1" x14ac:dyDescent="0.25">
      <c r="A181" s="20">
        <v>5</v>
      </c>
      <c r="B181" s="20" t="s">
        <v>306</v>
      </c>
      <c r="C181" s="20">
        <v>18</v>
      </c>
    </row>
    <row r="182" spans="1:3" hidden="1" x14ac:dyDescent="0.25">
      <c r="A182" s="20">
        <v>6</v>
      </c>
      <c r="B182" s="20" t="s">
        <v>307</v>
      </c>
      <c r="C182" s="20">
        <v>18</v>
      </c>
    </row>
    <row r="183" spans="1:3" hidden="1" x14ac:dyDescent="0.25">
      <c r="A183" s="20">
        <v>7</v>
      </c>
      <c r="B183" s="20" t="s">
        <v>308</v>
      </c>
      <c r="C183" s="20">
        <v>4</v>
      </c>
    </row>
    <row r="184" spans="1:3" hidden="1" x14ac:dyDescent="0.25">
      <c r="A184" s="20">
        <v>8</v>
      </c>
      <c r="B184" s="20" t="s">
        <v>309</v>
      </c>
      <c r="C184" s="20">
        <v>8</v>
      </c>
    </row>
    <row r="185" spans="1:3" hidden="1" x14ac:dyDescent="0.25">
      <c r="A185" s="20">
        <v>9</v>
      </c>
      <c r="B185" s="20" t="s">
        <v>310</v>
      </c>
      <c r="C185" s="20">
        <v>17</v>
      </c>
    </row>
    <row r="186" spans="1:3" hidden="1" x14ac:dyDescent="0.25">
      <c r="A186" s="20">
        <v>10</v>
      </c>
      <c r="B186" s="20" t="s">
        <v>311</v>
      </c>
      <c r="C186" s="20">
        <v>12</v>
      </c>
    </row>
    <row r="187" spans="1:3" hidden="1" x14ac:dyDescent="0.25">
      <c r="A187" s="20">
        <v>11</v>
      </c>
      <c r="B187" s="20" t="s">
        <v>312</v>
      </c>
      <c r="C187" s="20">
        <v>2</v>
      </c>
    </row>
    <row r="188" spans="1:3" hidden="1" x14ac:dyDescent="0.25">
      <c r="A188" s="20">
        <v>12</v>
      </c>
      <c r="B188" s="20" t="s">
        <v>313</v>
      </c>
      <c r="C188" s="20">
        <v>5</v>
      </c>
    </row>
    <row r="189" spans="1:3" hidden="1" x14ac:dyDescent="0.25">
      <c r="A189" s="20">
        <v>13</v>
      </c>
      <c r="B189" s="20" t="s">
        <v>314</v>
      </c>
      <c r="C189" s="20">
        <v>14</v>
      </c>
    </row>
    <row r="190" spans="1:3" hidden="1" x14ac:dyDescent="0.25">
      <c r="A190" s="20">
        <v>15</v>
      </c>
      <c r="B190" s="20" t="s">
        <v>315</v>
      </c>
      <c r="C190" s="20">
        <v>20</v>
      </c>
    </row>
    <row r="191" spans="1:3" hidden="1" x14ac:dyDescent="0.25">
      <c r="A191" s="20">
        <v>16</v>
      </c>
      <c r="B191" s="20" t="s">
        <v>316</v>
      </c>
      <c r="C191" s="20">
        <v>14</v>
      </c>
    </row>
    <row r="192" spans="1:3" hidden="1" x14ac:dyDescent="0.25">
      <c r="A192" s="20">
        <v>17</v>
      </c>
      <c r="B192" s="20" t="s">
        <v>317</v>
      </c>
      <c r="C192" s="20">
        <v>13</v>
      </c>
    </row>
    <row r="193" spans="1:3" hidden="1" x14ac:dyDescent="0.25">
      <c r="A193" s="20">
        <v>18</v>
      </c>
      <c r="B193" s="20" t="s">
        <v>318</v>
      </c>
      <c r="C193" s="20">
        <v>7</v>
      </c>
    </row>
    <row r="194" spans="1:3" hidden="1" x14ac:dyDescent="0.25">
      <c r="A194" s="20">
        <v>19</v>
      </c>
      <c r="B194" s="20" t="s">
        <v>319</v>
      </c>
      <c r="C194" s="20">
        <v>5</v>
      </c>
    </row>
    <row r="195" spans="1:3" hidden="1" x14ac:dyDescent="0.25">
      <c r="A195" s="20">
        <v>20</v>
      </c>
      <c r="B195" s="20" t="s">
        <v>320</v>
      </c>
      <c r="C195" s="20">
        <v>13</v>
      </c>
    </row>
    <row r="196" spans="1:3" hidden="1" x14ac:dyDescent="0.25">
      <c r="A196" s="20">
        <v>21</v>
      </c>
      <c r="B196" s="20" t="s">
        <v>321</v>
      </c>
      <c r="C196" s="20">
        <v>14</v>
      </c>
    </row>
    <row r="197" spans="1:3" hidden="1" x14ac:dyDescent="0.25">
      <c r="A197" s="20">
        <v>22</v>
      </c>
      <c r="B197" s="20" t="s">
        <v>322</v>
      </c>
      <c r="C197" s="20">
        <v>13</v>
      </c>
    </row>
    <row r="198" spans="1:3" hidden="1" x14ac:dyDescent="0.25">
      <c r="A198" s="20">
        <v>23</v>
      </c>
      <c r="B198" s="20" t="s">
        <v>323</v>
      </c>
      <c r="C198" s="20">
        <v>14</v>
      </c>
    </row>
    <row r="199" spans="1:3" hidden="1" x14ac:dyDescent="0.25">
      <c r="A199" s="20">
        <v>24</v>
      </c>
      <c r="B199" s="20" t="s">
        <v>324</v>
      </c>
      <c r="C199" s="20">
        <v>7</v>
      </c>
    </row>
    <row r="200" spans="1:3" hidden="1" x14ac:dyDescent="0.25">
      <c r="A200" s="20">
        <v>25</v>
      </c>
      <c r="B200" s="20" t="s">
        <v>325</v>
      </c>
      <c r="C200" s="20">
        <v>19</v>
      </c>
    </row>
    <row r="201" spans="1:3" hidden="1" x14ac:dyDescent="0.25">
      <c r="A201" s="20">
        <v>26</v>
      </c>
      <c r="B201" s="20" t="s">
        <v>326</v>
      </c>
      <c r="C201" s="20">
        <v>16</v>
      </c>
    </row>
    <row r="202" spans="1:3" hidden="1" x14ac:dyDescent="0.25">
      <c r="A202" s="20">
        <v>27</v>
      </c>
      <c r="B202" s="20" t="s">
        <v>327</v>
      </c>
      <c r="C202" s="20">
        <v>17</v>
      </c>
    </row>
    <row r="203" spans="1:3" hidden="1" x14ac:dyDescent="0.25">
      <c r="A203" s="20">
        <v>29</v>
      </c>
      <c r="B203" s="20" t="s">
        <v>328</v>
      </c>
      <c r="C203" s="20">
        <v>16</v>
      </c>
    </row>
    <row r="204" spans="1:3" hidden="1" x14ac:dyDescent="0.25">
      <c r="A204" s="20">
        <v>30</v>
      </c>
      <c r="B204" s="20" t="s">
        <v>329</v>
      </c>
      <c r="C204" s="20">
        <v>4</v>
      </c>
    </row>
    <row r="205" spans="1:3" hidden="1" x14ac:dyDescent="0.25">
      <c r="A205" s="20">
        <v>32</v>
      </c>
      <c r="B205" s="20" t="s">
        <v>330</v>
      </c>
      <c r="C205" s="20">
        <v>16</v>
      </c>
    </row>
    <row r="206" spans="1:3" hidden="1" x14ac:dyDescent="0.25">
      <c r="A206" s="20">
        <v>33</v>
      </c>
      <c r="B206" s="20" t="s">
        <v>331</v>
      </c>
      <c r="C206" s="20">
        <v>1</v>
      </c>
    </row>
    <row r="207" spans="1:3" hidden="1" x14ac:dyDescent="0.25">
      <c r="A207" s="20">
        <v>34</v>
      </c>
      <c r="B207" s="20" t="s">
        <v>332</v>
      </c>
      <c r="C207" s="20">
        <v>1</v>
      </c>
    </row>
    <row r="208" spans="1:3" hidden="1" x14ac:dyDescent="0.25">
      <c r="A208" s="20">
        <v>35</v>
      </c>
      <c r="B208" s="20" t="s">
        <v>333</v>
      </c>
      <c r="C208" s="20">
        <v>11</v>
      </c>
    </row>
    <row r="209" spans="1:3" hidden="1" x14ac:dyDescent="0.25">
      <c r="A209" s="20">
        <v>36</v>
      </c>
      <c r="B209" s="20" t="s">
        <v>334</v>
      </c>
      <c r="C209" s="20">
        <v>5</v>
      </c>
    </row>
    <row r="210" spans="1:3" hidden="1" x14ac:dyDescent="0.25">
      <c r="A210" s="20">
        <v>37</v>
      </c>
      <c r="B210" s="20" t="s">
        <v>335</v>
      </c>
      <c r="C210" s="20">
        <v>9</v>
      </c>
    </row>
    <row r="211" spans="1:3" hidden="1" x14ac:dyDescent="0.25">
      <c r="A211" s="20">
        <v>38</v>
      </c>
      <c r="B211" s="20" t="s">
        <v>336</v>
      </c>
      <c r="C211" s="20">
        <v>8</v>
      </c>
    </row>
    <row r="212" spans="1:3" hidden="1" x14ac:dyDescent="0.25">
      <c r="A212" s="20">
        <v>39</v>
      </c>
      <c r="B212" s="20" t="s">
        <v>337</v>
      </c>
      <c r="C212" s="20">
        <v>12</v>
      </c>
    </row>
    <row r="213" spans="1:3" hidden="1" x14ac:dyDescent="0.25">
      <c r="A213" s="20">
        <v>40</v>
      </c>
      <c r="B213" s="20" t="s">
        <v>338</v>
      </c>
      <c r="C213" s="20">
        <v>18</v>
      </c>
    </row>
    <row r="214" spans="1:3" hidden="1" x14ac:dyDescent="0.25">
      <c r="A214" s="20">
        <v>41</v>
      </c>
      <c r="B214" s="20" t="s">
        <v>339</v>
      </c>
      <c r="C214" s="20">
        <v>2</v>
      </c>
    </row>
    <row r="215" spans="1:3" hidden="1" x14ac:dyDescent="0.25">
      <c r="A215" s="20">
        <v>42</v>
      </c>
      <c r="B215" s="20" t="s">
        <v>340</v>
      </c>
      <c r="C215" s="20">
        <v>18</v>
      </c>
    </row>
    <row r="216" spans="1:3" hidden="1" x14ac:dyDescent="0.25">
      <c r="A216" s="20">
        <v>43</v>
      </c>
      <c r="B216" s="20" t="s">
        <v>341</v>
      </c>
      <c r="C216" s="20">
        <v>18</v>
      </c>
    </row>
    <row r="217" spans="1:3" hidden="1" x14ac:dyDescent="0.25">
      <c r="A217" s="20">
        <v>44</v>
      </c>
      <c r="B217" s="20" t="s">
        <v>342</v>
      </c>
      <c r="C217" s="20">
        <v>16</v>
      </c>
    </row>
    <row r="218" spans="1:3" hidden="1" x14ac:dyDescent="0.25">
      <c r="A218" s="20">
        <v>46</v>
      </c>
      <c r="B218" s="20" t="s">
        <v>343</v>
      </c>
      <c r="C218" s="20">
        <v>12</v>
      </c>
    </row>
    <row r="219" spans="1:3" hidden="1" x14ac:dyDescent="0.25">
      <c r="A219" s="20">
        <v>47</v>
      </c>
      <c r="B219" s="20" t="s">
        <v>344</v>
      </c>
      <c r="C219" s="20">
        <v>18</v>
      </c>
    </row>
    <row r="220" spans="1:3" hidden="1" x14ac:dyDescent="0.25">
      <c r="A220" s="20">
        <v>48</v>
      </c>
      <c r="B220" s="20" t="s">
        <v>345</v>
      </c>
      <c r="C220" s="20">
        <v>5</v>
      </c>
    </row>
    <row r="221" spans="1:3" hidden="1" x14ac:dyDescent="0.25">
      <c r="A221" s="20">
        <v>49</v>
      </c>
      <c r="B221" s="20" t="s">
        <v>346</v>
      </c>
      <c r="C221" s="20">
        <v>4</v>
      </c>
    </row>
    <row r="222" spans="1:3" hidden="1" x14ac:dyDescent="0.25">
      <c r="A222" s="20">
        <v>50</v>
      </c>
      <c r="B222" s="20" t="s">
        <v>347</v>
      </c>
      <c r="C222" s="20">
        <v>17</v>
      </c>
    </row>
    <row r="223" spans="1:3" hidden="1" x14ac:dyDescent="0.25">
      <c r="A223" s="20">
        <v>51</v>
      </c>
      <c r="B223" s="20" t="s">
        <v>348</v>
      </c>
      <c r="C223" s="20">
        <v>15</v>
      </c>
    </row>
    <row r="224" spans="1:3" hidden="1" x14ac:dyDescent="0.25">
      <c r="A224" s="20">
        <v>52</v>
      </c>
      <c r="B224" s="20" t="s">
        <v>349</v>
      </c>
      <c r="C224" s="20">
        <v>8</v>
      </c>
    </row>
    <row r="225" spans="1:3" hidden="1" x14ac:dyDescent="0.25">
      <c r="A225" s="20">
        <v>53</v>
      </c>
      <c r="B225" s="20" t="s">
        <v>350</v>
      </c>
      <c r="C225" s="20">
        <v>8</v>
      </c>
    </row>
    <row r="226" spans="1:3" hidden="1" x14ac:dyDescent="0.25">
      <c r="A226" s="20">
        <v>54</v>
      </c>
      <c r="B226" s="20" t="s">
        <v>351</v>
      </c>
      <c r="C226" s="20">
        <v>10</v>
      </c>
    </row>
    <row r="227" spans="1:3" hidden="1" x14ac:dyDescent="0.25">
      <c r="A227" s="20">
        <v>55</v>
      </c>
      <c r="B227" s="20" t="s">
        <v>352</v>
      </c>
      <c r="C227" s="20">
        <v>8</v>
      </c>
    </row>
    <row r="228" spans="1:3" hidden="1" x14ac:dyDescent="0.25">
      <c r="A228" s="20">
        <v>56</v>
      </c>
      <c r="B228" s="20" t="s">
        <v>353</v>
      </c>
      <c r="C228" s="20">
        <v>10</v>
      </c>
    </row>
    <row r="229" spans="1:3" hidden="1" x14ac:dyDescent="0.25">
      <c r="A229" s="20">
        <v>57</v>
      </c>
      <c r="B229" s="20" t="s">
        <v>354</v>
      </c>
      <c r="C229" s="20">
        <v>10</v>
      </c>
    </row>
    <row r="230" spans="1:3" hidden="1" x14ac:dyDescent="0.25">
      <c r="A230" s="20">
        <v>58</v>
      </c>
      <c r="B230" s="20" t="s">
        <v>355</v>
      </c>
      <c r="C230" s="20">
        <v>11</v>
      </c>
    </row>
    <row r="231" spans="1:3" hidden="1" x14ac:dyDescent="0.25">
      <c r="A231" s="20">
        <v>60</v>
      </c>
      <c r="B231" s="20" t="s">
        <v>356</v>
      </c>
      <c r="C231" s="20">
        <v>20</v>
      </c>
    </row>
    <row r="232" spans="1:3" hidden="1" x14ac:dyDescent="0.25">
      <c r="A232" s="20">
        <v>61</v>
      </c>
      <c r="B232" s="20" t="s">
        <v>357</v>
      </c>
      <c r="C232" s="20">
        <v>8</v>
      </c>
    </row>
    <row r="233" spans="1:3" hidden="1" x14ac:dyDescent="0.25">
      <c r="A233" s="20">
        <v>63</v>
      </c>
      <c r="B233" s="20" t="s">
        <v>358</v>
      </c>
      <c r="C233" s="20">
        <v>7</v>
      </c>
    </row>
    <row r="234" spans="1:3" hidden="1" x14ac:dyDescent="0.25">
      <c r="A234" s="20">
        <v>64</v>
      </c>
      <c r="B234" s="20" t="s">
        <v>359</v>
      </c>
      <c r="C234" s="20">
        <v>14</v>
      </c>
    </row>
    <row r="235" spans="1:3" hidden="1" x14ac:dyDescent="0.25">
      <c r="A235" s="20">
        <v>65</v>
      </c>
      <c r="B235" s="20" t="s">
        <v>360</v>
      </c>
      <c r="C235" s="20">
        <v>14</v>
      </c>
    </row>
    <row r="236" spans="1:3" hidden="1" x14ac:dyDescent="0.25">
      <c r="A236" s="20">
        <v>66</v>
      </c>
      <c r="B236" s="20" t="s">
        <v>361</v>
      </c>
      <c r="C236" s="20">
        <v>14</v>
      </c>
    </row>
    <row r="237" spans="1:3" hidden="1" x14ac:dyDescent="0.25">
      <c r="A237" s="20">
        <v>67</v>
      </c>
      <c r="B237" s="20" t="s">
        <v>362</v>
      </c>
      <c r="C237" s="20">
        <v>7</v>
      </c>
    </row>
    <row r="238" spans="1:3" hidden="1" x14ac:dyDescent="0.25">
      <c r="A238" s="20">
        <v>68</v>
      </c>
      <c r="B238" s="20" t="s">
        <v>363</v>
      </c>
      <c r="C238" s="20">
        <v>12</v>
      </c>
    </row>
    <row r="239" spans="1:3" hidden="1" x14ac:dyDescent="0.25">
      <c r="A239" s="20">
        <v>69</v>
      </c>
      <c r="B239" s="20" t="s">
        <v>364</v>
      </c>
      <c r="C239" s="20">
        <v>8</v>
      </c>
    </row>
    <row r="240" spans="1:3" hidden="1" x14ac:dyDescent="0.25">
      <c r="A240" s="20">
        <v>70</v>
      </c>
      <c r="B240" s="20" t="s">
        <v>365</v>
      </c>
      <c r="C240" s="20">
        <v>2</v>
      </c>
    </row>
    <row r="241" spans="1:3" hidden="1" x14ac:dyDescent="0.25">
      <c r="A241" s="20">
        <v>71</v>
      </c>
      <c r="B241" s="20" t="s">
        <v>366</v>
      </c>
      <c r="C241" s="20">
        <v>7</v>
      </c>
    </row>
    <row r="242" spans="1:3" hidden="1" x14ac:dyDescent="0.25">
      <c r="A242" s="20">
        <v>72</v>
      </c>
      <c r="B242" s="20" t="s">
        <v>367</v>
      </c>
      <c r="C242" s="20">
        <v>17</v>
      </c>
    </row>
    <row r="243" spans="1:3" hidden="1" x14ac:dyDescent="0.25">
      <c r="A243" s="20">
        <v>74</v>
      </c>
      <c r="B243" s="20" t="s">
        <v>368</v>
      </c>
      <c r="C243" s="20">
        <v>8</v>
      </c>
    </row>
    <row r="244" spans="1:3" hidden="1" x14ac:dyDescent="0.25">
      <c r="A244" s="20">
        <v>75</v>
      </c>
      <c r="B244" s="20" t="s">
        <v>369</v>
      </c>
      <c r="C244" s="20">
        <v>20</v>
      </c>
    </row>
    <row r="245" spans="1:3" hidden="1" x14ac:dyDescent="0.25">
      <c r="A245" s="20">
        <v>77</v>
      </c>
      <c r="B245" s="20" t="s">
        <v>370</v>
      </c>
      <c r="C245" s="20">
        <v>17</v>
      </c>
    </row>
    <row r="246" spans="1:3" hidden="1" x14ac:dyDescent="0.25">
      <c r="A246" s="20">
        <v>78</v>
      </c>
      <c r="B246" s="20" t="s">
        <v>371</v>
      </c>
      <c r="C246" s="20">
        <v>20</v>
      </c>
    </row>
    <row r="247" spans="1:3" hidden="1" x14ac:dyDescent="0.25">
      <c r="A247" s="20">
        <v>79</v>
      </c>
      <c r="B247" s="20" t="s">
        <v>372</v>
      </c>
      <c r="C247" s="20">
        <v>2</v>
      </c>
    </row>
    <row r="248" spans="1:3" hidden="1" x14ac:dyDescent="0.25">
      <c r="A248" s="20">
        <v>80</v>
      </c>
      <c r="B248" s="20" t="s">
        <v>373</v>
      </c>
      <c r="C248" s="20">
        <v>5</v>
      </c>
    </row>
    <row r="249" spans="1:3" hidden="1" x14ac:dyDescent="0.25">
      <c r="A249" s="20">
        <v>81</v>
      </c>
      <c r="B249" s="20" t="s">
        <v>374</v>
      </c>
      <c r="C249" s="20">
        <v>12</v>
      </c>
    </row>
    <row r="250" spans="1:3" hidden="1" x14ac:dyDescent="0.25">
      <c r="A250" s="20">
        <v>82</v>
      </c>
      <c r="B250" s="20" t="s">
        <v>375</v>
      </c>
      <c r="C250" s="20">
        <v>20</v>
      </c>
    </row>
    <row r="251" spans="1:3" hidden="1" x14ac:dyDescent="0.25">
      <c r="A251" s="20">
        <v>83</v>
      </c>
      <c r="B251" s="20" t="s">
        <v>376</v>
      </c>
      <c r="C251" s="20">
        <v>3</v>
      </c>
    </row>
    <row r="252" spans="1:3" hidden="1" x14ac:dyDescent="0.25">
      <c r="A252" s="20">
        <v>84</v>
      </c>
      <c r="B252" s="20" t="s">
        <v>377</v>
      </c>
      <c r="C252" s="20">
        <v>9</v>
      </c>
    </row>
    <row r="253" spans="1:3" hidden="1" x14ac:dyDescent="0.25">
      <c r="A253" s="20">
        <v>85</v>
      </c>
      <c r="B253" s="20" t="s">
        <v>378</v>
      </c>
      <c r="C253" s="20">
        <v>5</v>
      </c>
    </row>
    <row r="254" spans="1:3" hidden="1" x14ac:dyDescent="0.25">
      <c r="A254" s="20">
        <v>86</v>
      </c>
      <c r="B254" s="20" t="s">
        <v>379</v>
      </c>
      <c r="C254" s="20">
        <v>14</v>
      </c>
    </row>
    <row r="255" spans="1:3" hidden="1" x14ac:dyDescent="0.25">
      <c r="A255" s="20">
        <v>87</v>
      </c>
      <c r="B255" s="20" t="s">
        <v>380</v>
      </c>
      <c r="C255" s="20">
        <v>17</v>
      </c>
    </row>
    <row r="256" spans="1:3" hidden="1" x14ac:dyDescent="0.25">
      <c r="A256" s="20">
        <v>88</v>
      </c>
      <c r="B256" s="20" t="s">
        <v>381</v>
      </c>
      <c r="C256" s="20">
        <v>17</v>
      </c>
    </row>
    <row r="257" spans="1:3" hidden="1" x14ac:dyDescent="0.25">
      <c r="A257" s="20">
        <v>89</v>
      </c>
      <c r="B257" s="20" t="s">
        <v>382</v>
      </c>
      <c r="C257" s="20">
        <v>20</v>
      </c>
    </row>
    <row r="258" spans="1:3" hidden="1" x14ac:dyDescent="0.25">
      <c r="A258" s="20">
        <v>90</v>
      </c>
      <c r="B258" s="20" t="s">
        <v>383</v>
      </c>
      <c r="C258" s="20">
        <v>4</v>
      </c>
    </row>
    <row r="259" spans="1:3" hidden="1" x14ac:dyDescent="0.25">
      <c r="A259" s="20">
        <v>91</v>
      </c>
      <c r="B259" s="20" t="s">
        <v>384</v>
      </c>
      <c r="C259" s="20">
        <v>14</v>
      </c>
    </row>
    <row r="260" spans="1:3" hidden="1" x14ac:dyDescent="0.25">
      <c r="A260" s="20">
        <v>92</v>
      </c>
      <c r="B260" s="20" t="s">
        <v>385</v>
      </c>
      <c r="C260" s="20">
        <v>16</v>
      </c>
    </row>
    <row r="261" spans="1:3" hidden="1" x14ac:dyDescent="0.25">
      <c r="A261" s="20">
        <v>94</v>
      </c>
      <c r="B261" s="20" t="s">
        <v>386</v>
      </c>
      <c r="C261" s="20">
        <v>14</v>
      </c>
    </row>
    <row r="262" spans="1:3" hidden="1" x14ac:dyDescent="0.25">
      <c r="A262" s="20">
        <v>95</v>
      </c>
      <c r="B262" s="20" t="s">
        <v>387</v>
      </c>
      <c r="C262" s="20">
        <v>15</v>
      </c>
    </row>
    <row r="263" spans="1:3" hidden="1" x14ac:dyDescent="0.25">
      <c r="A263" s="20">
        <v>96</v>
      </c>
      <c r="B263" s="20" t="s">
        <v>388</v>
      </c>
      <c r="C263" s="20">
        <v>6</v>
      </c>
    </row>
    <row r="264" spans="1:3" hidden="1" x14ac:dyDescent="0.25">
      <c r="A264" s="20">
        <v>97</v>
      </c>
      <c r="B264" s="20" t="s">
        <v>389</v>
      </c>
      <c r="C264" s="20">
        <v>1</v>
      </c>
    </row>
    <row r="265" spans="1:3" hidden="1" x14ac:dyDescent="0.25">
      <c r="A265" s="20">
        <v>98</v>
      </c>
      <c r="B265" s="20" t="s">
        <v>390</v>
      </c>
      <c r="C265" s="20">
        <v>19</v>
      </c>
    </row>
    <row r="266" spans="1:3" hidden="1" x14ac:dyDescent="0.25">
      <c r="A266" s="20">
        <v>99</v>
      </c>
      <c r="B266" s="20" t="s">
        <v>391</v>
      </c>
      <c r="C266" s="20">
        <v>4</v>
      </c>
    </row>
    <row r="267" spans="1:3" hidden="1" x14ac:dyDescent="0.25">
      <c r="A267" s="20">
        <v>100</v>
      </c>
      <c r="B267" s="20" t="s">
        <v>392</v>
      </c>
      <c r="C267" s="20">
        <v>17</v>
      </c>
    </row>
    <row r="268" spans="1:3" hidden="1" x14ac:dyDescent="0.25">
      <c r="A268" s="20">
        <v>101</v>
      </c>
      <c r="B268" s="20" t="s">
        <v>393</v>
      </c>
      <c r="C268" s="20">
        <v>1</v>
      </c>
    </row>
    <row r="269" spans="1:3" hidden="1" x14ac:dyDescent="0.25">
      <c r="A269" s="20">
        <v>102</v>
      </c>
      <c r="B269" s="20" t="s">
        <v>394</v>
      </c>
      <c r="C269" s="20">
        <v>3</v>
      </c>
    </row>
    <row r="270" spans="1:3" hidden="1" x14ac:dyDescent="0.25">
      <c r="A270" s="20">
        <v>103</v>
      </c>
      <c r="B270" s="20" t="s">
        <v>395</v>
      </c>
      <c r="C270" s="20">
        <v>14</v>
      </c>
    </row>
    <row r="271" spans="1:3" hidden="1" x14ac:dyDescent="0.25">
      <c r="A271" s="20">
        <v>104</v>
      </c>
      <c r="B271" s="20" t="s">
        <v>396</v>
      </c>
      <c r="C271" s="20">
        <v>6</v>
      </c>
    </row>
    <row r="272" spans="1:3" hidden="1" x14ac:dyDescent="0.25">
      <c r="A272" s="20">
        <v>105</v>
      </c>
      <c r="B272" s="20" t="s">
        <v>397</v>
      </c>
      <c r="C272" s="20">
        <v>7</v>
      </c>
    </row>
    <row r="273" spans="1:3" hidden="1" x14ac:dyDescent="0.25">
      <c r="A273" s="20">
        <v>106</v>
      </c>
      <c r="B273" s="20" t="s">
        <v>398</v>
      </c>
      <c r="C273" s="20">
        <v>14</v>
      </c>
    </row>
    <row r="274" spans="1:3" hidden="1" x14ac:dyDescent="0.25">
      <c r="A274" s="20">
        <v>107</v>
      </c>
      <c r="B274" s="20" t="s">
        <v>399</v>
      </c>
      <c r="C274" s="20">
        <v>6</v>
      </c>
    </row>
    <row r="275" spans="1:3" hidden="1" x14ac:dyDescent="0.25">
      <c r="A275" s="20">
        <v>108</v>
      </c>
      <c r="B275" s="20" t="s">
        <v>400</v>
      </c>
      <c r="C275" s="20">
        <v>2</v>
      </c>
    </row>
    <row r="276" spans="1:3" hidden="1" x14ac:dyDescent="0.25">
      <c r="A276" s="20">
        <v>110</v>
      </c>
      <c r="B276" s="20" t="s">
        <v>401</v>
      </c>
      <c r="C276" s="20">
        <v>14</v>
      </c>
    </row>
    <row r="277" spans="1:3" hidden="1" x14ac:dyDescent="0.25">
      <c r="A277" s="20">
        <v>111</v>
      </c>
      <c r="B277" s="20" t="s">
        <v>402</v>
      </c>
      <c r="C277" s="20">
        <v>14</v>
      </c>
    </row>
    <row r="278" spans="1:3" hidden="1" x14ac:dyDescent="0.25">
      <c r="A278" s="20">
        <v>113</v>
      </c>
      <c r="B278" s="20" t="s">
        <v>403</v>
      </c>
      <c r="C278" s="20">
        <v>15</v>
      </c>
    </row>
    <row r="279" spans="1:3" hidden="1" x14ac:dyDescent="0.25">
      <c r="A279" s="20">
        <v>114</v>
      </c>
      <c r="B279" s="20" t="s">
        <v>404</v>
      </c>
      <c r="C279" s="20">
        <v>1</v>
      </c>
    </row>
    <row r="280" spans="1:3" hidden="1" x14ac:dyDescent="0.25">
      <c r="A280" s="20">
        <v>115</v>
      </c>
      <c r="B280" s="20" t="s">
        <v>405</v>
      </c>
      <c r="C280" s="20">
        <v>6</v>
      </c>
    </row>
    <row r="281" spans="1:3" hidden="1" x14ac:dyDescent="0.25">
      <c r="A281" s="20">
        <v>116</v>
      </c>
      <c r="B281" s="20" t="s">
        <v>406</v>
      </c>
      <c r="C281" s="20">
        <v>14</v>
      </c>
    </row>
    <row r="282" spans="1:3" hidden="1" x14ac:dyDescent="0.25">
      <c r="A282" s="20">
        <v>117</v>
      </c>
      <c r="B282" s="20" t="s">
        <v>407</v>
      </c>
      <c r="C282" s="20">
        <v>8</v>
      </c>
    </row>
    <row r="283" spans="1:3" hidden="1" x14ac:dyDescent="0.25">
      <c r="A283" s="20">
        <v>118</v>
      </c>
      <c r="B283" s="20" t="s">
        <v>408</v>
      </c>
      <c r="C283" s="20">
        <v>12</v>
      </c>
    </row>
    <row r="284" spans="1:3" hidden="1" x14ac:dyDescent="0.25">
      <c r="A284" s="20">
        <v>119</v>
      </c>
      <c r="B284" s="20" t="s">
        <v>409</v>
      </c>
      <c r="C284" s="20">
        <v>7</v>
      </c>
    </row>
    <row r="285" spans="1:3" hidden="1" x14ac:dyDescent="0.25">
      <c r="A285" s="20">
        <v>120</v>
      </c>
      <c r="B285" s="20" t="s">
        <v>410</v>
      </c>
      <c r="C285" s="20">
        <v>4</v>
      </c>
    </row>
    <row r="286" spans="1:3" hidden="1" x14ac:dyDescent="0.25">
      <c r="A286" s="20">
        <v>121</v>
      </c>
      <c r="B286" s="20" t="s">
        <v>411</v>
      </c>
      <c r="C286" s="20">
        <v>3</v>
      </c>
    </row>
    <row r="287" spans="1:3" hidden="1" x14ac:dyDescent="0.25">
      <c r="A287" s="20">
        <v>122</v>
      </c>
      <c r="B287" s="20" t="s">
        <v>412</v>
      </c>
      <c r="C287" s="20">
        <v>6</v>
      </c>
    </row>
    <row r="288" spans="1:3" hidden="1" x14ac:dyDescent="0.25">
      <c r="A288" s="20">
        <v>123</v>
      </c>
      <c r="B288" s="20" t="s">
        <v>413</v>
      </c>
      <c r="C288" s="20">
        <v>20</v>
      </c>
    </row>
    <row r="289" spans="1:3" hidden="1" x14ac:dyDescent="0.25">
      <c r="A289" s="20">
        <v>124</v>
      </c>
      <c r="B289" s="20" t="s">
        <v>414</v>
      </c>
      <c r="C289" s="20">
        <v>14</v>
      </c>
    </row>
    <row r="290" spans="1:3" hidden="1" x14ac:dyDescent="0.25">
      <c r="A290" s="20">
        <v>125</v>
      </c>
      <c r="B290" s="20" t="s">
        <v>415</v>
      </c>
      <c r="C290" s="20">
        <v>2</v>
      </c>
    </row>
    <row r="291" spans="1:3" hidden="1" x14ac:dyDescent="0.25">
      <c r="A291" s="20">
        <v>127</v>
      </c>
      <c r="B291" s="20" t="s">
        <v>416</v>
      </c>
      <c r="C291" s="20">
        <v>12</v>
      </c>
    </row>
    <row r="292" spans="1:3" hidden="1" x14ac:dyDescent="0.25">
      <c r="A292" s="20">
        <v>129</v>
      </c>
      <c r="B292" s="20" t="s">
        <v>417</v>
      </c>
      <c r="C292" s="20">
        <v>5</v>
      </c>
    </row>
    <row r="293" spans="1:3" hidden="1" x14ac:dyDescent="0.25">
      <c r="A293" s="20">
        <v>130</v>
      </c>
      <c r="B293" s="20" t="s">
        <v>418</v>
      </c>
      <c r="C293" s="20">
        <v>9</v>
      </c>
    </row>
    <row r="294" spans="1:3" hidden="1" x14ac:dyDescent="0.25">
      <c r="A294" s="20">
        <v>131</v>
      </c>
      <c r="B294" s="20" t="s">
        <v>419</v>
      </c>
      <c r="C294" s="20">
        <v>13</v>
      </c>
    </row>
    <row r="295" spans="1:3" hidden="1" x14ac:dyDescent="0.25">
      <c r="A295" s="20">
        <v>132</v>
      </c>
      <c r="B295" s="20" t="s">
        <v>420</v>
      </c>
      <c r="C295" s="20">
        <v>18</v>
      </c>
    </row>
    <row r="296" spans="1:3" hidden="1" x14ac:dyDescent="0.25">
      <c r="A296" s="20">
        <v>133</v>
      </c>
      <c r="B296" s="20" t="s">
        <v>421</v>
      </c>
      <c r="C296" s="20">
        <v>21</v>
      </c>
    </row>
    <row r="297" spans="1:3" hidden="1" x14ac:dyDescent="0.25">
      <c r="A297" s="20">
        <v>134</v>
      </c>
      <c r="B297" s="20" t="s">
        <v>422</v>
      </c>
      <c r="C297" s="20">
        <v>17</v>
      </c>
    </row>
    <row r="298" spans="1:3" hidden="1" x14ac:dyDescent="0.25">
      <c r="A298" s="20">
        <v>135</v>
      </c>
      <c r="B298" s="20" t="s">
        <v>423</v>
      </c>
      <c r="C298" s="20">
        <v>1</v>
      </c>
    </row>
    <row r="299" spans="1:3" hidden="1" x14ac:dyDescent="0.25">
      <c r="A299" s="20">
        <v>136</v>
      </c>
      <c r="B299" s="20" t="s">
        <v>424</v>
      </c>
      <c r="C299" s="20">
        <v>10</v>
      </c>
    </row>
    <row r="300" spans="1:3" hidden="1" x14ac:dyDescent="0.25">
      <c r="A300" s="20">
        <v>137</v>
      </c>
      <c r="B300" s="20" t="s">
        <v>425</v>
      </c>
      <c r="C300" s="20">
        <v>16</v>
      </c>
    </row>
    <row r="301" spans="1:3" hidden="1" x14ac:dyDescent="0.25">
      <c r="A301" s="20">
        <v>138</v>
      </c>
      <c r="B301" s="20" t="s">
        <v>426</v>
      </c>
      <c r="C301" s="20">
        <v>18</v>
      </c>
    </row>
    <row r="302" spans="1:3" hidden="1" x14ac:dyDescent="0.25">
      <c r="A302" s="20">
        <v>139</v>
      </c>
      <c r="B302" s="20" t="s">
        <v>427</v>
      </c>
      <c r="C302" s="20">
        <v>7</v>
      </c>
    </row>
    <row r="303" spans="1:3" hidden="1" x14ac:dyDescent="0.25">
      <c r="A303" s="20">
        <v>140</v>
      </c>
      <c r="B303" s="20" t="s">
        <v>428</v>
      </c>
      <c r="C303" s="20">
        <v>12</v>
      </c>
    </row>
    <row r="304" spans="1:3" hidden="1" x14ac:dyDescent="0.25">
      <c r="A304" s="20">
        <v>141</v>
      </c>
      <c r="B304" s="20" t="s">
        <v>429</v>
      </c>
      <c r="C304" s="20">
        <v>16</v>
      </c>
    </row>
    <row r="305" spans="1:3" hidden="1" x14ac:dyDescent="0.25">
      <c r="A305" s="20">
        <v>144</v>
      </c>
      <c r="B305" s="20" t="s">
        <v>430</v>
      </c>
      <c r="C305" s="20">
        <v>7</v>
      </c>
    </row>
    <row r="306" spans="1:3" hidden="1" x14ac:dyDescent="0.25">
      <c r="A306" s="20">
        <v>145</v>
      </c>
      <c r="B306" s="20" t="s">
        <v>431</v>
      </c>
      <c r="C306" s="20">
        <v>6</v>
      </c>
    </row>
    <row r="307" spans="1:3" hidden="1" x14ac:dyDescent="0.25">
      <c r="A307" s="20">
        <v>146</v>
      </c>
      <c r="B307" s="20" t="s">
        <v>432</v>
      </c>
      <c r="C307" s="20">
        <v>2</v>
      </c>
    </row>
    <row r="308" spans="1:3" hidden="1" x14ac:dyDescent="0.25">
      <c r="A308" s="20">
        <v>148</v>
      </c>
      <c r="B308" s="20" t="s">
        <v>433</v>
      </c>
      <c r="C308" s="20">
        <v>17</v>
      </c>
    </row>
    <row r="309" spans="1:3" hidden="1" x14ac:dyDescent="0.25">
      <c r="A309" s="20">
        <v>149</v>
      </c>
      <c r="B309" s="20" t="s">
        <v>434</v>
      </c>
      <c r="C309" s="20">
        <v>3</v>
      </c>
    </row>
    <row r="310" spans="1:3" hidden="1" x14ac:dyDescent="0.25">
      <c r="A310" s="20">
        <v>150</v>
      </c>
      <c r="B310" s="20" t="s">
        <v>435</v>
      </c>
      <c r="C310" s="20">
        <v>3</v>
      </c>
    </row>
    <row r="311" spans="1:3" hidden="1" x14ac:dyDescent="0.25">
      <c r="A311" s="20">
        <v>151</v>
      </c>
      <c r="B311" s="20" t="s">
        <v>436</v>
      </c>
      <c r="C311" s="20">
        <v>5</v>
      </c>
    </row>
    <row r="312" spans="1:3" hidden="1" x14ac:dyDescent="0.25">
      <c r="A312" s="20">
        <v>152</v>
      </c>
      <c r="B312" s="20" t="s">
        <v>437</v>
      </c>
      <c r="C312" s="20">
        <v>2</v>
      </c>
    </row>
    <row r="313" spans="1:3" hidden="1" x14ac:dyDescent="0.25">
      <c r="A313" s="20">
        <v>153</v>
      </c>
      <c r="B313" s="20" t="s">
        <v>438</v>
      </c>
      <c r="C313" s="20">
        <v>17</v>
      </c>
    </row>
    <row r="314" spans="1:3" hidden="1" x14ac:dyDescent="0.25">
      <c r="A314" s="20">
        <v>154</v>
      </c>
      <c r="B314" s="20" t="s">
        <v>439</v>
      </c>
      <c r="C314" s="20">
        <v>16</v>
      </c>
    </row>
    <row r="315" spans="1:3" hidden="1" x14ac:dyDescent="0.25">
      <c r="A315" s="20">
        <v>155</v>
      </c>
      <c r="B315" s="20" t="s">
        <v>440</v>
      </c>
      <c r="C315" s="20">
        <v>17</v>
      </c>
    </row>
    <row r="316" spans="1:3" hidden="1" x14ac:dyDescent="0.25">
      <c r="A316" s="20">
        <v>156</v>
      </c>
      <c r="B316" s="20" t="s">
        <v>441</v>
      </c>
      <c r="C316" s="20">
        <v>5</v>
      </c>
    </row>
    <row r="317" spans="1:3" hidden="1" x14ac:dyDescent="0.25">
      <c r="A317" s="20">
        <v>158</v>
      </c>
      <c r="B317" s="20" t="s">
        <v>442</v>
      </c>
      <c r="C317" s="20">
        <v>1</v>
      </c>
    </row>
    <row r="318" spans="1:3" hidden="1" x14ac:dyDescent="0.25">
      <c r="A318" s="20">
        <v>159</v>
      </c>
      <c r="B318" s="20" t="s">
        <v>443</v>
      </c>
      <c r="C318" s="20">
        <v>16</v>
      </c>
    </row>
    <row r="319" spans="1:3" hidden="1" x14ac:dyDescent="0.25">
      <c r="A319" s="20">
        <v>161</v>
      </c>
      <c r="B319" s="20" t="s">
        <v>444</v>
      </c>
      <c r="C319" s="20">
        <v>7</v>
      </c>
    </row>
    <row r="320" spans="1:3" hidden="1" x14ac:dyDescent="0.25">
      <c r="A320" s="20">
        <v>163</v>
      </c>
      <c r="B320" s="20" t="s">
        <v>445</v>
      </c>
      <c r="C320" s="20">
        <v>1</v>
      </c>
    </row>
    <row r="321" spans="1:3" hidden="1" x14ac:dyDescent="0.25">
      <c r="A321" s="20">
        <v>164</v>
      </c>
      <c r="B321" s="20" t="s">
        <v>446</v>
      </c>
      <c r="C321" s="20">
        <v>11</v>
      </c>
    </row>
    <row r="322" spans="1:3" hidden="1" x14ac:dyDescent="0.25">
      <c r="A322" s="20">
        <v>165</v>
      </c>
      <c r="B322" s="20" t="s">
        <v>447</v>
      </c>
      <c r="C322" s="20">
        <v>5</v>
      </c>
    </row>
    <row r="323" spans="1:3" hidden="1" x14ac:dyDescent="0.25">
      <c r="A323" s="20">
        <v>166</v>
      </c>
      <c r="B323" s="20" t="s">
        <v>448</v>
      </c>
      <c r="C323" s="20">
        <v>16</v>
      </c>
    </row>
    <row r="324" spans="1:3" hidden="1" x14ac:dyDescent="0.25">
      <c r="A324" s="20">
        <v>167</v>
      </c>
      <c r="B324" s="20" t="s">
        <v>449</v>
      </c>
      <c r="C324" s="20">
        <v>13</v>
      </c>
    </row>
    <row r="325" spans="1:3" hidden="1" x14ac:dyDescent="0.25">
      <c r="A325" s="20">
        <v>168</v>
      </c>
      <c r="B325" s="20" t="s">
        <v>450</v>
      </c>
      <c r="C325" s="20">
        <v>3</v>
      </c>
    </row>
    <row r="326" spans="1:3" hidden="1" x14ac:dyDescent="0.25">
      <c r="A326" s="20">
        <v>169</v>
      </c>
      <c r="B326" s="20" t="s">
        <v>451</v>
      </c>
      <c r="C326" s="20">
        <v>1</v>
      </c>
    </row>
    <row r="327" spans="1:3" hidden="1" x14ac:dyDescent="0.25">
      <c r="A327" s="20">
        <v>170</v>
      </c>
      <c r="B327" s="20" t="s">
        <v>452</v>
      </c>
      <c r="C327" s="20">
        <v>8</v>
      </c>
    </row>
    <row r="328" spans="1:3" hidden="1" x14ac:dyDescent="0.25">
      <c r="A328" s="20">
        <v>171</v>
      </c>
      <c r="B328" s="20" t="s">
        <v>453</v>
      </c>
      <c r="C328" s="20">
        <v>17</v>
      </c>
    </row>
    <row r="329" spans="1:3" hidden="1" x14ac:dyDescent="0.25">
      <c r="A329" s="20">
        <v>172</v>
      </c>
      <c r="B329" s="20" t="s">
        <v>454</v>
      </c>
      <c r="C329" s="20">
        <v>4</v>
      </c>
    </row>
    <row r="330" spans="1:3" hidden="1" x14ac:dyDescent="0.25">
      <c r="A330" s="20">
        <v>173</v>
      </c>
      <c r="B330" s="20" t="s">
        <v>455</v>
      </c>
      <c r="C330" s="20">
        <v>13</v>
      </c>
    </row>
    <row r="331" spans="1:3" hidden="1" x14ac:dyDescent="0.25">
      <c r="A331" s="20">
        <v>175</v>
      </c>
      <c r="B331" s="20" t="s">
        <v>456</v>
      </c>
      <c r="C331" s="20">
        <v>18</v>
      </c>
    </row>
    <row r="332" spans="1:3" hidden="1" x14ac:dyDescent="0.25">
      <c r="A332" s="20">
        <v>176</v>
      </c>
      <c r="B332" s="20" t="s">
        <v>457</v>
      </c>
      <c r="C332" s="20">
        <v>7</v>
      </c>
    </row>
    <row r="333" spans="1:3" hidden="1" x14ac:dyDescent="0.25">
      <c r="A333" s="20">
        <v>177</v>
      </c>
      <c r="B333" s="20" t="s">
        <v>458</v>
      </c>
      <c r="C333" s="20">
        <v>11</v>
      </c>
    </row>
    <row r="334" spans="1:3" hidden="1" x14ac:dyDescent="0.25">
      <c r="A334" s="20">
        <v>178</v>
      </c>
      <c r="B334" s="20" t="s">
        <v>459</v>
      </c>
      <c r="C334" s="20">
        <v>9</v>
      </c>
    </row>
    <row r="335" spans="1:3" hidden="1" x14ac:dyDescent="0.25">
      <c r="A335" s="20">
        <v>179</v>
      </c>
      <c r="B335" s="20" t="s">
        <v>460</v>
      </c>
      <c r="C335" s="20">
        <v>4</v>
      </c>
    </row>
    <row r="336" spans="1:3" hidden="1" x14ac:dyDescent="0.25">
      <c r="A336" s="20">
        <v>180</v>
      </c>
      <c r="B336" s="20" t="s">
        <v>461</v>
      </c>
      <c r="C336" s="20">
        <v>8</v>
      </c>
    </row>
    <row r="337" spans="1:3" hidden="1" x14ac:dyDescent="0.25">
      <c r="A337" s="20">
        <v>181</v>
      </c>
      <c r="B337" s="20" t="s">
        <v>462</v>
      </c>
      <c r="C337" s="20">
        <v>17</v>
      </c>
    </row>
    <row r="338" spans="1:3" hidden="1" x14ac:dyDescent="0.25">
      <c r="A338" s="20">
        <v>183</v>
      </c>
      <c r="B338" s="20" t="s">
        <v>463</v>
      </c>
      <c r="C338" s="20">
        <v>15</v>
      </c>
    </row>
    <row r="339" spans="1:3" hidden="1" x14ac:dyDescent="0.25">
      <c r="A339" s="20">
        <v>184</v>
      </c>
      <c r="B339" s="20" t="s">
        <v>464</v>
      </c>
      <c r="C339" s="20">
        <v>15</v>
      </c>
    </row>
    <row r="340" spans="1:3" hidden="1" x14ac:dyDescent="0.25">
      <c r="A340" s="20">
        <v>185</v>
      </c>
      <c r="B340" s="20" t="s">
        <v>465</v>
      </c>
      <c r="C340" s="20">
        <v>12</v>
      </c>
    </row>
    <row r="341" spans="1:3" hidden="1" x14ac:dyDescent="0.25">
      <c r="A341" s="20">
        <v>186</v>
      </c>
      <c r="B341" s="20" t="s">
        <v>466</v>
      </c>
      <c r="C341" s="20">
        <v>8</v>
      </c>
    </row>
    <row r="342" spans="1:3" hidden="1" x14ac:dyDescent="0.25">
      <c r="A342" s="20">
        <v>187</v>
      </c>
      <c r="B342" s="20" t="s">
        <v>467</v>
      </c>
      <c r="C342" s="20">
        <v>2</v>
      </c>
    </row>
    <row r="343" spans="1:3" hidden="1" x14ac:dyDescent="0.25">
      <c r="A343" s="20">
        <v>189</v>
      </c>
      <c r="B343" s="20" t="s">
        <v>468</v>
      </c>
      <c r="C343" s="20">
        <v>5</v>
      </c>
    </row>
    <row r="344" spans="1:3" hidden="1" x14ac:dyDescent="0.25">
      <c r="A344" s="20">
        <v>190</v>
      </c>
      <c r="B344" s="20" t="s">
        <v>469</v>
      </c>
      <c r="C344" s="20">
        <v>1</v>
      </c>
    </row>
    <row r="345" spans="1:3" hidden="1" x14ac:dyDescent="0.25">
      <c r="A345" s="20">
        <v>192</v>
      </c>
      <c r="B345" s="20" t="s">
        <v>470</v>
      </c>
      <c r="C345" s="20">
        <v>17</v>
      </c>
    </row>
    <row r="346" spans="1:3" hidden="1" x14ac:dyDescent="0.25">
      <c r="A346" s="20">
        <v>193</v>
      </c>
      <c r="B346" s="20" t="s">
        <v>471</v>
      </c>
      <c r="C346" s="20">
        <v>1</v>
      </c>
    </row>
    <row r="347" spans="1:3" hidden="1" x14ac:dyDescent="0.25">
      <c r="A347" s="20">
        <v>194</v>
      </c>
      <c r="B347" s="20" t="s">
        <v>472</v>
      </c>
      <c r="C347" s="20">
        <v>6</v>
      </c>
    </row>
    <row r="348" spans="1:3" hidden="1" x14ac:dyDescent="0.25">
      <c r="A348" s="20">
        <v>195</v>
      </c>
      <c r="B348" s="20" t="s">
        <v>473</v>
      </c>
      <c r="C348" s="20">
        <v>14</v>
      </c>
    </row>
    <row r="349" spans="1:3" hidden="1" x14ac:dyDescent="0.25">
      <c r="A349" s="20">
        <v>196</v>
      </c>
      <c r="B349" s="20" t="s">
        <v>474</v>
      </c>
      <c r="C349" s="20">
        <v>15</v>
      </c>
    </row>
    <row r="350" spans="1:3" hidden="1" x14ac:dyDescent="0.25">
      <c r="A350" s="20">
        <v>197</v>
      </c>
      <c r="B350" s="20" t="s">
        <v>475</v>
      </c>
      <c r="C350" s="20">
        <v>17</v>
      </c>
    </row>
    <row r="351" spans="1:3" hidden="1" x14ac:dyDescent="0.25">
      <c r="A351" s="20">
        <v>198</v>
      </c>
      <c r="B351" s="20" t="s">
        <v>476</v>
      </c>
      <c r="C351" s="20">
        <v>19</v>
      </c>
    </row>
    <row r="352" spans="1:3" hidden="1" x14ac:dyDescent="0.25">
      <c r="A352" s="20">
        <v>199</v>
      </c>
      <c r="B352" s="20" t="s">
        <v>477</v>
      </c>
      <c r="C352" s="20">
        <v>7</v>
      </c>
    </row>
    <row r="353" spans="1:3" hidden="1" x14ac:dyDescent="0.25">
      <c r="A353" s="20">
        <v>200</v>
      </c>
      <c r="B353" s="20" t="s">
        <v>478</v>
      </c>
      <c r="C353" s="20">
        <v>2</v>
      </c>
    </row>
    <row r="354" spans="1:3" hidden="1" x14ac:dyDescent="0.25">
      <c r="A354" s="20">
        <v>201</v>
      </c>
      <c r="B354" s="20" t="s">
        <v>479</v>
      </c>
      <c r="C354" s="20">
        <v>6</v>
      </c>
    </row>
    <row r="355" spans="1:3" hidden="1" x14ac:dyDescent="0.25">
      <c r="A355" s="20">
        <v>202</v>
      </c>
      <c r="B355" s="20" t="s">
        <v>480</v>
      </c>
      <c r="C355" s="20">
        <v>6</v>
      </c>
    </row>
    <row r="356" spans="1:3" hidden="1" x14ac:dyDescent="0.25">
      <c r="A356" s="20">
        <v>203</v>
      </c>
      <c r="B356" s="20" t="s">
        <v>481</v>
      </c>
      <c r="C356" s="20">
        <v>6</v>
      </c>
    </row>
    <row r="357" spans="1:3" hidden="1" x14ac:dyDescent="0.25">
      <c r="A357" s="20">
        <v>204</v>
      </c>
      <c r="B357" s="20" t="s">
        <v>482</v>
      </c>
      <c r="C357" s="20">
        <v>19</v>
      </c>
    </row>
    <row r="358" spans="1:3" hidden="1" x14ac:dyDescent="0.25">
      <c r="A358" s="20">
        <v>205</v>
      </c>
      <c r="B358" s="20" t="s">
        <v>483</v>
      </c>
      <c r="C358" s="20">
        <v>14</v>
      </c>
    </row>
    <row r="359" spans="1:3" hidden="1" x14ac:dyDescent="0.25">
      <c r="A359" s="20">
        <v>206</v>
      </c>
      <c r="B359" s="20" t="s">
        <v>484</v>
      </c>
      <c r="C359" s="20">
        <v>20</v>
      </c>
    </row>
    <row r="360" spans="1:3" hidden="1" x14ac:dyDescent="0.25">
      <c r="A360" s="20">
        <v>208</v>
      </c>
      <c r="B360" s="20" t="s">
        <v>485</v>
      </c>
      <c r="C360" s="20">
        <v>2</v>
      </c>
    </row>
    <row r="361" spans="1:3" hidden="1" x14ac:dyDescent="0.25">
      <c r="A361" s="20">
        <v>209</v>
      </c>
      <c r="B361" s="20" t="s">
        <v>486</v>
      </c>
      <c r="C361" s="20">
        <v>8</v>
      </c>
    </row>
    <row r="362" spans="1:3" hidden="1" x14ac:dyDescent="0.25">
      <c r="A362" s="20">
        <v>211</v>
      </c>
      <c r="B362" s="20" t="s">
        <v>487</v>
      </c>
      <c r="C362" s="20">
        <v>2</v>
      </c>
    </row>
    <row r="363" spans="1:3" hidden="1" x14ac:dyDescent="0.25">
      <c r="A363" s="20">
        <v>212</v>
      </c>
      <c r="B363" s="20" t="s">
        <v>488</v>
      </c>
      <c r="C363" s="20">
        <v>2</v>
      </c>
    </row>
    <row r="364" spans="1:3" hidden="1" x14ac:dyDescent="0.25">
      <c r="A364" s="20">
        <v>213</v>
      </c>
      <c r="B364" s="20" t="s">
        <v>489</v>
      </c>
      <c r="C364" s="20">
        <v>1</v>
      </c>
    </row>
    <row r="365" spans="1:3" hidden="1" x14ac:dyDescent="0.25">
      <c r="A365" s="20">
        <v>214</v>
      </c>
      <c r="B365" s="20" t="s">
        <v>490</v>
      </c>
      <c r="C365" s="20">
        <v>6</v>
      </c>
    </row>
    <row r="366" spans="1:3" hidden="1" x14ac:dyDescent="0.25">
      <c r="A366" s="20">
        <v>215</v>
      </c>
      <c r="B366" s="20" t="s">
        <v>491</v>
      </c>
      <c r="C366" s="20">
        <v>8</v>
      </c>
    </row>
    <row r="367" spans="1:3" hidden="1" x14ac:dyDescent="0.25">
      <c r="A367" s="20">
        <v>216</v>
      </c>
      <c r="B367" s="20" t="s">
        <v>492</v>
      </c>
      <c r="C367" s="20">
        <v>4</v>
      </c>
    </row>
    <row r="368" spans="1:3" hidden="1" x14ac:dyDescent="0.25">
      <c r="A368" s="20">
        <v>217</v>
      </c>
      <c r="B368" s="20" t="s">
        <v>493</v>
      </c>
      <c r="C368" s="20">
        <v>18</v>
      </c>
    </row>
    <row r="369" spans="1:3" hidden="1" x14ac:dyDescent="0.25">
      <c r="A369" s="20">
        <v>219</v>
      </c>
      <c r="B369" s="20" t="s">
        <v>494</v>
      </c>
      <c r="C369" s="20">
        <v>19</v>
      </c>
    </row>
    <row r="370" spans="1:3" hidden="1" x14ac:dyDescent="0.25">
      <c r="A370" s="20">
        <v>220</v>
      </c>
      <c r="B370" s="20" t="s">
        <v>495</v>
      </c>
      <c r="C370" s="20">
        <v>3</v>
      </c>
    </row>
    <row r="371" spans="1:3" hidden="1" x14ac:dyDescent="0.25">
      <c r="A371" s="20">
        <v>221</v>
      </c>
      <c r="B371" s="20" t="s">
        <v>496</v>
      </c>
      <c r="C371" s="20">
        <v>11</v>
      </c>
    </row>
    <row r="372" spans="1:3" hidden="1" x14ac:dyDescent="0.25">
      <c r="A372" s="20">
        <v>222</v>
      </c>
      <c r="B372" s="20" t="s">
        <v>497</v>
      </c>
      <c r="C372" s="20">
        <v>18</v>
      </c>
    </row>
    <row r="373" spans="1:3" hidden="1" x14ac:dyDescent="0.25">
      <c r="A373" s="20">
        <v>223</v>
      </c>
      <c r="B373" s="20" t="s">
        <v>498</v>
      </c>
      <c r="C373" s="20">
        <v>18</v>
      </c>
    </row>
    <row r="374" spans="1:3" hidden="1" x14ac:dyDescent="0.25">
      <c r="A374" s="20">
        <v>225</v>
      </c>
      <c r="B374" s="20" t="s">
        <v>499</v>
      </c>
      <c r="C374" s="20">
        <v>4</v>
      </c>
    </row>
    <row r="375" spans="1:3" hidden="1" x14ac:dyDescent="0.25">
      <c r="A375" s="20">
        <v>226</v>
      </c>
      <c r="B375" s="20" t="s">
        <v>500</v>
      </c>
      <c r="C375" s="20">
        <v>19</v>
      </c>
    </row>
    <row r="376" spans="1:3" hidden="1" x14ac:dyDescent="0.25">
      <c r="A376" s="20">
        <v>227</v>
      </c>
      <c r="B376" s="20" t="s">
        <v>501</v>
      </c>
      <c r="C376" s="20">
        <v>6</v>
      </c>
    </row>
    <row r="377" spans="1:3" hidden="1" x14ac:dyDescent="0.25">
      <c r="A377" s="20">
        <v>228</v>
      </c>
      <c r="B377" s="20" t="s">
        <v>502</v>
      </c>
      <c r="C377" s="20">
        <v>3</v>
      </c>
    </row>
    <row r="378" spans="1:3" hidden="1" x14ac:dyDescent="0.25">
      <c r="A378" s="20">
        <v>229</v>
      </c>
      <c r="B378" s="20" t="s">
        <v>503</v>
      </c>
      <c r="C378" s="20">
        <v>5</v>
      </c>
    </row>
    <row r="379" spans="1:3" hidden="1" x14ac:dyDescent="0.25">
      <c r="A379" s="20">
        <v>230</v>
      </c>
      <c r="B379" s="20" t="s">
        <v>504</v>
      </c>
      <c r="C379" s="20">
        <v>14</v>
      </c>
    </row>
    <row r="380" spans="1:3" hidden="1" x14ac:dyDescent="0.25">
      <c r="A380" s="20">
        <v>231</v>
      </c>
      <c r="B380" s="20" t="s">
        <v>505</v>
      </c>
      <c r="C380" s="20">
        <v>11</v>
      </c>
    </row>
    <row r="381" spans="1:3" hidden="1" x14ac:dyDescent="0.25">
      <c r="A381" s="20">
        <v>232</v>
      </c>
      <c r="B381" s="20" t="s">
        <v>506</v>
      </c>
      <c r="C381" s="20">
        <v>3</v>
      </c>
    </row>
    <row r="382" spans="1:3" hidden="1" x14ac:dyDescent="0.25">
      <c r="A382" s="20">
        <v>234</v>
      </c>
      <c r="B382" s="20" t="s">
        <v>507</v>
      </c>
      <c r="C382" s="20">
        <v>13</v>
      </c>
    </row>
    <row r="383" spans="1:3" hidden="1" x14ac:dyDescent="0.25">
      <c r="A383" s="20">
        <v>235</v>
      </c>
      <c r="B383" s="20" t="s">
        <v>508</v>
      </c>
      <c r="C383" s="20">
        <v>18</v>
      </c>
    </row>
    <row r="384" spans="1:3" hidden="1" x14ac:dyDescent="0.25">
      <c r="A384" s="20">
        <v>236</v>
      </c>
      <c r="B384" s="20" t="s">
        <v>509</v>
      </c>
      <c r="C384" s="20">
        <v>2</v>
      </c>
    </row>
    <row r="385" spans="1:3" hidden="1" x14ac:dyDescent="0.25">
      <c r="A385" s="20">
        <v>237</v>
      </c>
      <c r="B385" s="20" t="s">
        <v>510</v>
      </c>
      <c r="C385" s="20">
        <v>8</v>
      </c>
    </row>
    <row r="386" spans="1:3" hidden="1" x14ac:dyDescent="0.25">
      <c r="A386" s="20">
        <v>239</v>
      </c>
      <c r="B386" s="20" t="s">
        <v>511</v>
      </c>
      <c r="C386" s="20">
        <v>16</v>
      </c>
    </row>
    <row r="387" spans="1:3" hidden="1" x14ac:dyDescent="0.25">
      <c r="A387" s="20">
        <v>240</v>
      </c>
      <c r="B387" s="20" t="s">
        <v>512</v>
      </c>
      <c r="C387" s="20">
        <v>9</v>
      </c>
    </row>
    <row r="388" spans="1:3" hidden="1" x14ac:dyDescent="0.25">
      <c r="A388" s="20">
        <v>242</v>
      </c>
      <c r="B388" s="20" t="s">
        <v>513</v>
      </c>
      <c r="C388" s="20">
        <v>8</v>
      </c>
    </row>
    <row r="389" spans="1:3" hidden="1" x14ac:dyDescent="0.25">
      <c r="A389" s="20">
        <v>243</v>
      </c>
      <c r="B389" s="20" t="s">
        <v>514</v>
      </c>
      <c r="C389" s="20">
        <v>17</v>
      </c>
    </row>
    <row r="390" spans="1:3" hidden="1" x14ac:dyDescent="0.25">
      <c r="A390" s="20">
        <v>244</v>
      </c>
      <c r="B390" s="20" t="s">
        <v>515</v>
      </c>
      <c r="C390" s="20">
        <v>5</v>
      </c>
    </row>
    <row r="391" spans="1:3" hidden="1" x14ac:dyDescent="0.25">
      <c r="A391" s="20">
        <v>245</v>
      </c>
      <c r="B391" s="20" t="s">
        <v>516</v>
      </c>
      <c r="C391" s="20">
        <v>10</v>
      </c>
    </row>
    <row r="392" spans="1:3" hidden="1" x14ac:dyDescent="0.25">
      <c r="A392" s="20">
        <v>246</v>
      </c>
      <c r="B392" s="20" t="s">
        <v>517</v>
      </c>
      <c r="C392" s="20">
        <v>18</v>
      </c>
    </row>
    <row r="393" spans="1:3" hidden="1" x14ac:dyDescent="0.25">
      <c r="A393" s="20">
        <v>247</v>
      </c>
      <c r="B393" s="20" t="s">
        <v>518</v>
      </c>
      <c r="C393" s="20">
        <v>5</v>
      </c>
    </row>
    <row r="394" spans="1:3" hidden="1" x14ac:dyDescent="0.25">
      <c r="A394" s="20">
        <v>248</v>
      </c>
      <c r="B394" s="20" t="s">
        <v>519</v>
      </c>
      <c r="C394" s="20">
        <v>2</v>
      </c>
    </row>
    <row r="395" spans="1:3" hidden="1" x14ac:dyDescent="0.25">
      <c r="A395" s="20">
        <v>249</v>
      </c>
      <c r="B395" s="20" t="s">
        <v>520</v>
      </c>
      <c r="C395" s="20">
        <v>17</v>
      </c>
    </row>
    <row r="396" spans="1:3" hidden="1" x14ac:dyDescent="0.25">
      <c r="A396" s="20">
        <v>250</v>
      </c>
      <c r="B396" s="20" t="s">
        <v>521</v>
      </c>
      <c r="C396" s="20">
        <v>20</v>
      </c>
    </row>
    <row r="397" spans="1:3" hidden="1" x14ac:dyDescent="0.25">
      <c r="A397" s="20">
        <v>251</v>
      </c>
      <c r="B397" s="20" t="s">
        <v>522</v>
      </c>
      <c r="C397" s="20">
        <v>5</v>
      </c>
    </row>
    <row r="398" spans="1:3" hidden="1" x14ac:dyDescent="0.25">
      <c r="A398" s="20">
        <v>252</v>
      </c>
      <c r="B398" s="20" t="s">
        <v>523</v>
      </c>
      <c r="C398" s="20">
        <v>8</v>
      </c>
    </row>
    <row r="399" spans="1:3" hidden="1" x14ac:dyDescent="0.25">
      <c r="A399" s="20">
        <v>253</v>
      </c>
      <c r="B399" s="20" t="s">
        <v>524</v>
      </c>
      <c r="C399" s="20">
        <v>8</v>
      </c>
    </row>
    <row r="400" spans="1:3" hidden="1" x14ac:dyDescent="0.25">
      <c r="A400" s="20">
        <v>254</v>
      </c>
      <c r="B400" s="20" t="s">
        <v>525</v>
      </c>
      <c r="C400" s="20">
        <v>18</v>
      </c>
    </row>
    <row r="401" spans="1:3" hidden="1" x14ac:dyDescent="0.25">
      <c r="A401" s="20">
        <v>256</v>
      </c>
      <c r="B401" s="20" t="s">
        <v>526</v>
      </c>
      <c r="C401" s="20">
        <v>2</v>
      </c>
    </row>
    <row r="402" spans="1:3" hidden="1" x14ac:dyDescent="0.25">
      <c r="A402" s="20">
        <v>257</v>
      </c>
      <c r="B402" s="20" t="s">
        <v>527</v>
      </c>
      <c r="C402" s="20">
        <v>14</v>
      </c>
    </row>
    <row r="403" spans="1:3" hidden="1" x14ac:dyDescent="0.25">
      <c r="A403" s="20">
        <v>258</v>
      </c>
      <c r="B403" s="20" t="s">
        <v>528</v>
      </c>
      <c r="C403" s="20">
        <v>17</v>
      </c>
    </row>
    <row r="404" spans="1:3" hidden="1" x14ac:dyDescent="0.25">
      <c r="A404" s="20">
        <v>259</v>
      </c>
      <c r="B404" s="20" t="s">
        <v>529</v>
      </c>
      <c r="C404" s="20">
        <v>3</v>
      </c>
    </row>
    <row r="405" spans="1:3" hidden="1" x14ac:dyDescent="0.25">
      <c r="A405" s="20">
        <v>260</v>
      </c>
      <c r="B405" s="20" t="s">
        <v>530</v>
      </c>
      <c r="C405" s="20">
        <v>5</v>
      </c>
    </row>
    <row r="406" spans="1:3" hidden="1" x14ac:dyDescent="0.25">
      <c r="A406" s="20">
        <v>261</v>
      </c>
      <c r="B406" s="20" t="s">
        <v>531</v>
      </c>
      <c r="C406" s="20">
        <v>8</v>
      </c>
    </row>
    <row r="407" spans="1:3" hidden="1" x14ac:dyDescent="0.25">
      <c r="A407" s="20">
        <v>263</v>
      </c>
      <c r="B407" s="20" t="s">
        <v>532</v>
      </c>
      <c r="C407" s="20">
        <v>18</v>
      </c>
    </row>
    <row r="408" spans="1:3" hidden="1" x14ac:dyDescent="0.25">
      <c r="A408" s="20">
        <v>264</v>
      </c>
      <c r="B408" s="20" t="s">
        <v>533</v>
      </c>
      <c r="C408" s="20">
        <v>19</v>
      </c>
    </row>
    <row r="409" spans="1:3" hidden="1" x14ac:dyDescent="0.25">
      <c r="A409" s="20">
        <v>265</v>
      </c>
      <c r="B409" s="20" t="s">
        <v>534</v>
      </c>
      <c r="C409" s="20">
        <v>2</v>
      </c>
    </row>
    <row r="410" spans="1:3" hidden="1" x14ac:dyDescent="0.25">
      <c r="A410" s="20">
        <v>266</v>
      </c>
      <c r="B410" s="20" t="s">
        <v>535</v>
      </c>
      <c r="C410" s="20">
        <v>10</v>
      </c>
    </row>
    <row r="411" spans="1:3" hidden="1" x14ac:dyDescent="0.25">
      <c r="A411" s="20">
        <v>267</v>
      </c>
      <c r="B411" s="20" t="s">
        <v>536</v>
      </c>
      <c r="C411" s="20">
        <v>17</v>
      </c>
    </row>
    <row r="412" spans="1:3" hidden="1" x14ac:dyDescent="0.25">
      <c r="A412" s="20">
        <v>268</v>
      </c>
      <c r="B412" s="20" t="s">
        <v>537</v>
      </c>
      <c r="C412" s="20">
        <v>19</v>
      </c>
    </row>
    <row r="413" spans="1:3" hidden="1" x14ac:dyDescent="0.25">
      <c r="A413" s="20">
        <v>270</v>
      </c>
      <c r="B413" s="20" t="s">
        <v>538</v>
      </c>
      <c r="C413" s="20">
        <v>6</v>
      </c>
    </row>
    <row r="414" spans="1:3" hidden="1" x14ac:dyDescent="0.25">
      <c r="A414" s="20">
        <v>271</v>
      </c>
      <c r="B414" s="20" t="s">
        <v>539</v>
      </c>
      <c r="C414" s="20">
        <v>14</v>
      </c>
    </row>
    <row r="415" spans="1:3" hidden="1" x14ac:dyDescent="0.25">
      <c r="A415" s="20">
        <v>273</v>
      </c>
      <c r="B415" s="20" t="s">
        <v>540</v>
      </c>
      <c r="C415" s="20">
        <v>8</v>
      </c>
    </row>
    <row r="416" spans="1:3" hidden="1" x14ac:dyDescent="0.25">
      <c r="A416" s="20">
        <v>274</v>
      </c>
      <c r="B416" s="20" t="s">
        <v>541</v>
      </c>
      <c r="C416" s="20">
        <v>18</v>
      </c>
    </row>
    <row r="417" spans="1:3" hidden="1" x14ac:dyDescent="0.25">
      <c r="A417" s="20">
        <v>275</v>
      </c>
      <c r="B417" s="20" t="s">
        <v>542</v>
      </c>
      <c r="C417" s="20">
        <v>8</v>
      </c>
    </row>
    <row r="418" spans="1:3" hidden="1" x14ac:dyDescent="0.25">
      <c r="A418" s="20">
        <v>276</v>
      </c>
      <c r="B418" s="20" t="s">
        <v>543</v>
      </c>
      <c r="C418" s="20">
        <v>20</v>
      </c>
    </row>
    <row r="419" spans="1:3" hidden="1" x14ac:dyDescent="0.25">
      <c r="A419" s="20">
        <v>278</v>
      </c>
      <c r="B419" s="20" t="s">
        <v>544</v>
      </c>
      <c r="C419" s="20">
        <v>14</v>
      </c>
    </row>
    <row r="420" spans="1:3" hidden="1" x14ac:dyDescent="0.25">
      <c r="A420" s="20">
        <v>279</v>
      </c>
      <c r="B420" s="20" t="s">
        <v>545</v>
      </c>
      <c r="C420" s="20">
        <v>20</v>
      </c>
    </row>
    <row r="421" spans="1:3" hidden="1" x14ac:dyDescent="0.25">
      <c r="A421" s="20">
        <v>280</v>
      </c>
      <c r="B421" s="20" t="s">
        <v>546</v>
      </c>
      <c r="C421" s="20">
        <v>17</v>
      </c>
    </row>
    <row r="422" spans="1:3" hidden="1" x14ac:dyDescent="0.25">
      <c r="A422" s="20">
        <v>281</v>
      </c>
      <c r="B422" s="20" t="s">
        <v>547</v>
      </c>
      <c r="C422" s="20">
        <v>4</v>
      </c>
    </row>
    <row r="423" spans="1:3" hidden="1" x14ac:dyDescent="0.25">
      <c r="A423" s="20">
        <v>282</v>
      </c>
      <c r="B423" s="20" t="s">
        <v>548</v>
      </c>
      <c r="C423" s="20">
        <v>13</v>
      </c>
    </row>
    <row r="424" spans="1:3" hidden="1" x14ac:dyDescent="0.25">
      <c r="A424" s="20">
        <v>283</v>
      </c>
      <c r="B424" s="20" t="s">
        <v>549</v>
      </c>
      <c r="C424" s="20">
        <v>10</v>
      </c>
    </row>
    <row r="425" spans="1:3" hidden="1" x14ac:dyDescent="0.25">
      <c r="A425" s="20">
        <v>284</v>
      </c>
      <c r="B425" s="20" t="s">
        <v>550</v>
      </c>
      <c r="C425" s="20">
        <v>12</v>
      </c>
    </row>
    <row r="426" spans="1:3" hidden="1" x14ac:dyDescent="0.25">
      <c r="A426" s="20">
        <v>285</v>
      </c>
      <c r="B426" s="20" t="s">
        <v>551</v>
      </c>
      <c r="C426" s="20">
        <v>12</v>
      </c>
    </row>
    <row r="427" spans="1:3" hidden="1" x14ac:dyDescent="0.25">
      <c r="A427" s="20">
        <v>287</v>
      </c>
      <c r="B427" s="20" t="s">
        <v>552</v>
      </c>
      <c r="C427" s="20">
        <v>7</v>
      </c>
    </row>
    <row r="428" spans="1:3" hidden="1" x14ac:dyDescent="0.25">
      <c r="A428" s="20">
        <v>288</v>
      </c>
      <c r="B428" s="20" t="s">
        <v>553</v>
      </c>
      <c r="C428" s="20">
        <v>9</v>
      </c>
    </row>
    <row r="429" spans="1:3" hidden="1" x14ac:dyDescent="0.25">
      <c r="A429" s="20">
        <v>289</v>
      </c>
      <c r="B429" s="20" t="s">
        <v>554</v>
      </c>
      <c r="C429" s="20">
        <v>5</v>
      </c>
    </row>
    <row r="430" spans="1:3" hidden="1" x14ac:dyDescent="0.25">
      <c r="A430" s="20">
        <v>290</v>
      </c>
      <c r="B430" s="20" t="s">
        <v>555</v>
      </c>
      <c r="C430" s="20">
        <v>8</v>
      </c>
    </row>
    <row r="431" spans="1:3" hidden="1" x14ac:dyDescent="0.25">
      <c r="A431" s="20">
        <v>291</v>
      </c>
      <c r="B431" s="20" t="s">
        <v>556</v>
      </c>
      <c r="C431" s="20">
        <v>18</v>
      </c>
    </row>
    <row r="432" spans="1:3" hidden="1" x14ac:dyDescent="0.25">
      <c r="A432" s="20">
        <v>292</v>
      </c>
      <c r="B432" s="20" t="s">
        <v>557</v>
      </c>
      <c r="C432" s="20">
        <v>6</v>
      </c>
    </row>
    <row r="433" spans="1:3" hidden="1" x14ac:dyDescent="0.25">
      <c r="A433" s="20">
        <v>293</v>
      </c>
      <c r="B433" s="20" t="s">
        <v>558</v>
      </c>
      <c r="C433" s="20">
        <v>3</v>
      </c>
    </row>
    <row r="434" spans="1:3" hidden="1" x14ac:dyDescent="0.25">
      <c r="A434" s="20">
        <v>294</v>
      </c>
      <c r="B434" s="20" t="s">
        <v>559</v>
      </c>
      <c r="C434" s="20">
        <v>16</v>
      </c>
    </row>
    <row r="435" spans="1:3" hidden="1" x14ac:dyDescent="0.25">
      <c r="A435" s="20">
        <v>295</v>
      </c>
      <c r="B435" s="20" t="s">
        <v>560</v>
      </c>
      <c r="C435" s="20">
        <v>16</v>
      </c>
    </row>
    <row r="436" spans="1:3" hidden="1" x14ac:dyDescent="0.25">
      <c r="A436" s="20">
        <v>296</v>
      </c>
      <c r="B436" s="20" t="s">
        <v>561</v>
      </c>
      <c r="C436" s="20">
        <v>13</v>
      </c>
    </row>
    <row r="437" spans="1:3" hidden="1" x14ac:dyDescent="0.25">
      <c r="A437" s="20">
        <v>297</v>
      </c>
      <c r="B437" s="20" t="s">
        <v>562</v>
      </c>
      <c r="C437" s="20">
        <v>4</v>
      </c>
    </row>
    <row r="438" spans="1:3" hidden="1" x14ac:dyDescent="0.25">
      <c r="A438" s="20">
        <v>298</v>
      </c>
      <c r="B438" s="20" t="s">
        <v>563</v>
      </c>
      <c r="C438" s="20">
        <v>15</v>
      </c>
    </row>
    <row r="439" spans="1:3" hidden="1" x14ac:dyDescent="0.25">
      <c r="A439" s="20">
        <v>299</v>
      </c>
      <c r="B439" s="20" t="s">
        <v>564</v>
      </c>
      <c r="C439" s="20">
        <v>12</v>
      </c>
    </row>
    <row r="440" spans="1:3" hidden="1" x14ac:dyDescent="0.25">
      <c r="A440" s="20">
        <v>300</v>
      </c>
      <c r="B440" s="20" t="s">
        <v>565</v>
      </c>
      <c r="C440" s="20">
        <v>17</v>
      </c>
    </row>
    <row r="441" spans="1:3" hidden="1" x14ac:dyDescent="0.25">
      <c r="A441" s="20">
        <v>301</v>
      </c>
      <c r="B441" s="20" t="s">
        <v>566</v>
      </c>
      <c r="C441" s="20">
        <v>8</v>
      </c>
    </row>
    <row r="442" spans="1:3" hidden="1" x14ac:dyDescent="0.25">
      <c r="A442" s="20">
        <v>302</v>
      </c>
      <c r="B442" s="20" t="s">
        <v>567</v>
      </c>
      <c r="C442" s="20">
        <v>8</v>
      </c>
    </row>
    <row r="443" spans="1:3" hidden="1" x14ac:dyDescent="0.25">
      <c r="A443" s="20">
        <v>303</v>
      </c>
      <c r="B443" s="20" t="s">
        <v>568</v>
      </c>
      <c r="C443" s="20">
        <v>12</v>
      </c>
    </row>
    <row r="444" spans="1:3" hidden="1" x14ac:dyDescent="0.25">
      <c r="A444" s="20">
        <v>304</v>
      </c>
      <c r="B444" s="20" t="s">
        <v>569</v>
      </c>
      <c r="C444" s="20">
        <v>18</v>
      </c>
    </row>
    <row r="445" spans="1:3" hidden="1" x14ac:dyDescent="0.25">
      <c r="A445" s="20">
        <v>306</v>
      </c>
      <c r="B445" s="20" t="s">
        <v>570</v>
      </c>
      <c r="C445" s="20">
        <v>19</v>
      </c>
    </row>
    <row r="446" spans="1:3" hidden="1" x14ac:dyDescent="0.25">
      <c r="A446" s="20">
        <v>307</v>
      </c>
      <c r="B446" s="20" t="s">
        <v>571</v>
      </c>
      <c r="C446" s="20">
        <v>10</v>
      </c>
    </row>
    <row r="447" spans="1:3" hidden="1" x14ac:dyDescent="0.25">
      <c r="A447" s="20">
        <v>308</v>
      </c>
      <c r="B447" s="20" t="s">
        <v>572</v>
      </c>
      <c r="C447" s="20">
        <v>19</v>
      </c>
    </row>
    <row r="448" spans="1:3" hidden="1" x14ac:dyDescent="0.25">
      <c r="A448" s="20">
        <v>309</v>
      </c>
      <c r="B448" s="20" t="s">
        <v>573</v>
      </c>
      <c r="C448" s="20">
        <v>12</v>
      </c>
    </row>
    <row r="449" spans="1:3" hidden="1" x14ac:dyDescent="0.25">
      <c r="A449" s="20">
        <v>310</v>
      </c>
      <c r="B449" s="20" t="s">
        <v>574</v>
      </c>
      <c r="C449" s="20">
        <v>15</v>
      </c>
    </row>
    <row r="450" spans="1:3" hidden="1" x14ac:dyDescent="0.25">
      <c r="A450" s="20">
        <v>311</v>
      </c>
      <c r="B450" s="20" t="s">
        <v>575</v>
      </c>
      <c r="C450" s="20">
        <v>2</v>
      </c>
    </row>
    <row r="451" spans="1:3" hidden="1" x14ac:dyDescent="0.25">
      <c r="A451" s="20">
        <v>312</v>
      </c>
      <c r="B451" s="20" t="s">
        <v>576</v>
      </c>
      <c r="C451" s="20">
        <v>14</v>
      </c>
    </row>
    <row r="452" spans="1:3" hidden="1" x14ac:dyDescent="0.25">
      <c r="A452" s="20">
        <v>313</v>
      </c>
      <c r="B452" s="20" t="s">
        <v>577</v>
      </c>
      <c r="C452" s="20">
        <v>9</v>
      </c>
    </row>
    <row r="453" spans="1:3" hidden="1" x14ac:dyDescent="0.25">
      <c r="A453" s="20">
        <v>314</v>
      </c>
      <c r="B453" s="20" t="s">
        <v>578</v>
      </c>
      <c r="C453" s="20">
        <v>17</v>
      </c>
    </row>
    <row r="454" spans="1:3" hidden="1" x14ac:dyDescent="0.25">
      <c r="A454" s="20">
        <v>315</v>
      </c>
      <c r="B454" s="20" t="s">
        <v>579</v>
      </c>
      <c r="C454" s="20">
        <v>4</v>
      </c>
    </row>
    <row r="455" spans="1:3" hidden="1" x14ac:dyDescent="0.25">
      <c r="A455" s="20">
        <v>316</v>
      </c>
      <c r="B455" s="20" t="s">
        <v>580</v>
      </c>
      <c r="C455" s="20">
        <v>13</v>
      </c>
    </row>
    <row r="456" spans="1:3" hidden="1" x14ac:dyDescent="0.25">
      <c r="A456" s="20">
        <v>317</v>
      </c>
      <c r="B456" s="20" t="s">
        <v>581</v>
      </c>
      <c r="C456" s="20">
        <v>13</v>
      </c>
    </row>
    <row r="457" spans="1:3" hidden="1" x14ac:dyDescent="0.25">
      <c r="A457" s="20">
        <v>318</v>
      </c>
      <c r="B457" s="20" t="s">
        <v>582</v>
      </c>
      <c r="C457" s="20">
        <v>11</v>
      </c>
    </row>
    <row r="458" spans="1:3" hidden="1" x14ac:dyDescent="0.25">
      <c r="A458" s="20">
        <v>320</v>
      </c>
      <c r="B458" s="20" t="s">
        <v>583</v>
      </c>
      <c r="C458" s="20">
        <v>13</v>
      </c>
    </row>
    <row r="459" spans="1:3" hidden="1" x14ac:dyDescent="0.25">
      <c r="A459" s="20">
        <v>321</v>
      </c>
      <c r="B459" s="20" t="s">
        <v>584</v>
      </c>
      <c r="C459" s="20">
        <v>18</v>
      </c>
    </row>
    <row r="460" spans="1:3" hidden="1" x14ac:dyDescent="0.25">
      <c r="A460" s="20">
        <v>323</v>
      </c>
      <c r="B460" s="20" t="s">
        <v>585</v>
      </c>
      <c r="C460" s="20">
        <v>9</v>
      </c>
    </row>
    <row r="461" spans="1:3" hidden="1" x14ac:dyDescent="0.25">
      <c r="A461" s="20">
        <v>324</v>
      </c>
      <c r="B461" s="20" t="s">
        <v>586</v>
      </c>
      <c r="C461" s="20">
        <v>6</v>
      </c>
    </row>
    <row r="462" spans="1:3" hidden="1" x14ac:dyDescent="0.25">
      <c r="A462" s="20">
        <v>325</v>
      </c>
      <c r="B462" s="20" t="s">
        <v>587</v>
      </c>
      <c r="C462" s="20">
        <v>14</v>
      </c>
    </row>
    <row r="463" spans="1:3" hidden="1" x14ac:dyDescent="0.25">
      <c r="A463" s="20">
        <v>326</v>
      </c>
      <c r="B463" s="20" t="s">
        <v>588</v>
      </c>
      <c r="C463" s="20">
        <v>5</v>
      </c>
    </row>
    <row r="464" spans="1:3" hidden="1" x14ac:dyDescent="0.25">
      <c r="A464" s="20">
        <v>327</v>
      </c>
      <c r="B464" s="20" t="s">
        <v>589</v>
      </c>
      <c r="C464" s="20">
        <v>14</v>
      </c>
    </row>
    <row r="465" spans="1:3" hidden="1" x14ac:dyDescent="0.25">
      <c r="A465" s="20">
        <v>328</v>
      </c>
      <c r="B465" s="20" t="s">
        <v>590</v>
      </c>
      <c r="C465" s="20">
        <v>3</v>
      </c>
    </row>
    <row r="466" spans="1:3" hidden="1" x14ac:dyDescent="0.25">
      <c r="A466" s="20">
        <v>329</v>
      </c>
      <c r="B466" s="20" t="s">
        <v>591</v>
      </c>
      <c r="C466" s="20">
        <v>2</v>
      </c>
    </row>
    <row r="467" spans="1:3" hidden="1" x14ac:dyDescent="0.25">
      <c r="A467" s="20">
        <v>330</v>
      </c>
      <c r="B467" s="20" t="s">
        <v>592</v>
      </c>
      <c r="C467" s="20">
        <v>18</v>
      </c>
    </row>
    <row r="468" spans="1:3" hidden="1" x14ac:dyDescent="0.25">
      <c r="A468" s="20">
        <v>331</v>
      </c>
      <c r="B468" s="20" t="s">
        <v>593</v>
      </c>
      <c r="C468" s="20">
        <v>1</v>
      </c>
    </row>
    <row r="469" spans="1:3" hidden="1" x14ac:dyDescent="0.25">
      <c r="A469" s="20">
        <v>332</v>
      </c>
      <c r="B469" s="20" t="s">
        <v>594</v>
      </c>
      <c r="C469" s="20">
        <v>10</v>
      </c>
    </row>
    <row r="470" spans="1:3" hidden="1" x14ac:dyDescent="0.25">
      <c r="A470" s="20">
        <v>333</v>
      </c>
      <c r="B470" s="20" t="s">
        <v>595</v>
      </c>
      <c r="C470" s="20">
        <v>4</v>
      </c>
    </row>
    <row r="471" spans="1:3" hidden="1" x14ac:dyDescent="0.25">
      <c r="A471" s="20">
        <v>334</v>
      </c>
      <c r="B471" s="20" t="s">
        <v>596</v>
      </c>
      <c r="C471" s="20">
        <v>11</v>
      </c>
    </row>
    <row r="472" spans="1:3" hidden="1" x14ac:dyDescent="0.25">
      <c r="A472" s="20">
        <v>335</v>
      </c>
      <c r="B472" s="20" t="s">
        <v>597</v>
      </c>
      <c r="C472" s="20">
        <v>19</v>
      </c>
    </row>
    <row r="473" spans="1:3" hidden="1" x14ac:dyDescent="0.25">
      <c r="A473" s="20">
        <v>337</v>
      </c>
      <c r="B473" s="20" t="s">
        <v>598</v>
      </c>
      <c r="C473" s="20">
        <v>17</v>
      </c>
    </row>
    <row r="474" spans="1:3" hidden="1" x14ac:dyDescent="0.25">
      <c r="A474" s="20">
        <v>338</v>
      </c>
      <c r="B474" s="20" t="s">
        <v>599</v>
      </c>
      <c r="C474" s="20">
        <v>12</v>
      </c>
    </row>
    <row r="475" spans="1:3" hidden="1" x14ac:dyDescent="0.25">
      <c r="A475" s="20">
        <v>339</v>
      </c>
      <c r="B475" s="20" t="s">
        <v>600</v>
      </c>
      <c r="C475" s="20">
        <v>17</v>
      </c>
    </row>
    <row r="476" spans="1:3" hidden="1" x14ac:dyDescent="0.25">
      <c r="A476" s="20">
        <v>340</v>
      </c>
      <c r="B476" s="20" t="s">
        <v>601</v>
      </c>
      <c r="C476" s="20">
        <v>14</v>
      </c>
    </row>
    <row r="477" spans="1:3" hidden="1" x14ac:dyDescent="0.25">
      <c r="A477" s="20">
        <v>341</v>
      </c>
      <c r="B477" s="20" t="s">
        <v>602</v>
      </c>
      <c r="C477" s="20">
        <v>17</v>
      </c>
    </row>
    <row r="478" spans="1:3" hidden="1" x14ac:dyDescent="0.25">
      <c r="A478" s="20">
        <v>342</v>
      </c>
      <c r="B478" s="20" t="s">
        <v>603</v>
      </c>
      <c r="C478" s="20">
        <v>20</v>
      </c>
    </row>
    <row r="479" spans="1:3" hidden="1" x14ac:dyDescent="0.25">
      <c r="A479" s="20">
        <v>343</v>
      </c>
      <c r="B479" s="20" t="s">
        <v>604</v>
      </c>
      <c r="C479" s="20">
        <v>19</v>
      </c>
    </row>
    <row r="480" spans="1:3" hidden="1" x14ac:dyDescent="0.25">
      <c r="A480" s="20">
        <v>344</v>
      </c>
      <c r="B480" s="20" t="s">
        <v>605</v>
      </c>
      <c r="C480" s="20">
        <v>13</v>
      </c>
    </row>
    <row r="481" spans="1:3" hidden="1" x14ac:dyDescent="0.25">
      <c r="A481" s="20">
        <v>345</v>
      </c>
      <c r="B481" s="20" t="s">
        <v>606</v>
      </c>
      <c r="C481" s="20">
        <v>13</v>
      </c>
    </row>
    <row r="482" spans="1:3" hidden="1" x14ac:dyDescent="0.25">
      <c r="A482" s="20">
        <v>346</v>
      </c>
      <c r="B482" s="20" t="s">
        <v>607</v>
      </c>
      <c r="C482" s="20">
        <v>14</v>
      </c>
    </row>
    <row r="483" spans="1:3" hidden="1" x14ac:dyDescent="0.25">
      <c r="A483" s="20">
        <v>347</v>
      </c>
      <c r="B483" s="20" t="s">
        <v>608</v>
      </c>
      <c r="C483" s="20">
        <v>3</v>
      </c>
    </row>
    <row r="484" spans="1:3" hidden="1" x14ac:dyDescent="0.25">
      <c r="A484" s="20">
        <v>348</v>
      </c>
      <c r="B484" s="20" t="s">
        <v>609</v>
      </c>
      <c r="C484" s="20">
        <v>18</v>
      </c>
    </row>
    <row r="485" spans="1:3" hidden="1" x14ac:dyDescent="0.25">
      <c r="A485" s="20">
        <v>349</v>
      </c>
      <c r="B485" s="20" t="s">
        <v>610</v>
      </c>
      <c r="C485" s="20">
        <v>13</v>
      </c>
    </row>
    <row r="486" spans="1:3" hidden="1" x14ac:dyDescent="0.25">
      <c r="A486" s="20">
        <v>350</v>
      </c>
      <c r="B486" s="20" t="s">
        <v>611</v>
      </c>
      <c r="C486" s="20">
        <v>17</v>
      </c>
    </row>
    <row r="487" spans="1:3" hidden="1" x14ac:dyDescent="0.25">
      <c r="A487" s="20">
        <v>351</v>
      </c>
      <c r="B487" s="20" t="s">
        <v>612</v>
      </c>
      <c r="C487" s="20">
        <v>11</v>
      </c>
    </row>
    <row r="488" spans="1:3" hidden="1" x14ac:dyDescent="0.25">
      <c r="A488" s="20">
        <v>352</v>
      </c>
      <c r="B488" s="20" t="s">
        <v>613</v>
      </c>
      <c r="C488" s="20">
        <v>2</v>
      </c>
    </row>
    <row r="489" spans="1:3" hidden="1" x14ac:dyDescent="0.25">
      <c r="A489" s="20">
        <v>354</v>
      </c>
      <c r="B489" s="20" t="s">
        <v>614</v>
      </c>
      <c r="C489" s="20">
        <v>13</v>
      </c>
    </row>
    <row r="490" spans="1:3" hidden="1" x14ac:dyDescent="0.25">
      <c r="A490" s="20">
        <v>355</v>
      </c>
      <c r="B490" s="20" t="s">
        <v>615</v>
      </c>
      <c r="C490" s="20">
        <v>20</v>
      </c>
    </row>
    <row r="491" spans="1:3" hidden="1" x14ac:dyDescent="0.25">
      <c r="A491" s="20">
        <v>356</v>
      </c>
      <c r="B491" s="20" t="s">
        <v>616</v>
      </c>
      <c r="C491" s="20">
        <v>1</v>
      </c>
    </row>
    <row r="492" spans="1:3" hidden="1" x14ac:dyDescent="0.25">
      <c r="A492" s="20">
        <v>357</v>
      </c>
      <c r="B492" s="20" t="s">
        <v>617</v>
      </c>
      <c r="C492" s="20">
        <v>15</v>
      </c>
    </row>
    <row r="493" spans="1:3" hidden="1" x14ac:dyDescent="0.25">
      <c r="A493" s="20">
        <v>358</v>
      </c>
      <c r="B493" s="20" t="s">
        <v>618</v>
      </c>
      <c r="C493" s="20">
        <v>17</v>
      </c>
    </row>
    <row r="494" spans="1:3" hidden="1" x14ac:dyDescent="0.25">
      <c r="A494" s="20">
        <v>359</v>
      </c>
      <c r="B494" s="20" t="s">
        <v>619</v>
      </c>
      <c r="C494" s="20">
        <v>18</v>
      </c>
    </row>
    <row r="495" spans="1:3" hidden="1" x14ac:dyDescent="0.25">
      <c r="A495" s="20">
        <v>360</v>
      </c>
      <c r="B495" s="20" t="s">
        <v>620</v>
      </c>
      <c r="C495" s="20">
        <v>8</v>
      </c>
    </row>
    <row r="496" spans="1:3" hidden="1" x14ac:dyDescent="0.25">
      <c r="A496" s="20">
        <v>361</v>
      </c>
      <c r="B496" s="20" t="s">
        <v>621</v>
      </c>
      <c r="C496" s="20">
        <v>14</v>
      </c>
    </row>
    <row r="497" spans="1:3" hidden="1" x14ac:dyDescent="0.25">
      <c r="A497" s="20">
        <v>362</v>
      </c>
      <c r="B497" s="20" t="s">
        <v>622</v>
      </c>
      <c r="C497" s="20">
        <v>1</v>
      </c>
    </row>
    <row r="498" spans="1:3" hidden="1" x14ac:dyDescent="0.25">
      <c r="A498" s="20">
        <v>363</v>
      </c>
      <c r="B498" s="20" t="s">
        <v>623</v>
      </c>
      <c r="C498" s="20">
        <v>8</v>
      </c>
    </row>
    <row r="499" spans="1:3" hidden="1" x14ac:dyDescent="0.25">
      <c r="A499" s="20">
        <v>364</v>
      </c>
      <c r="B499" s="20" t="s">
        <v>624</v>
      </c>
      <c r="C499" s="20">
        <v>2</v>
      </c>
    </row>
    <row r="500" spans="1:3" hidden="1" x14ac:dyDescent="0.25">
      <c r="A500" s="20">
        <v>365</v>
      </c>
      <c r="B500" s="20" t="s">
        <v>625</v>
      </c>
      <c r="C500" s="20">
        <v>4</v>
      </c>
    </row>
    <row r="501" spans="1:3" hidden="1" x14ac:dyDescent="0.25">
      <c r="A501" s="20">
        <v>366</v>
      </c>
      <c r="B501" s="20" t="s">
        <v>626</v>
      </c>
      <c r="C501" s="20">
        <v>6</v>
      </c>
    </row>
    <row r="502" spans="1:3" hidden="1" x14ac:dyDescent="0.25">
      <c r="A502" s="20">
        <v>368</v>
      </c>
      <c r="B502" s="20" t="s">
        <v>627</v>
      </c>
      <c r="C502" s="20">
        <v>18</v>
      </c>
    </row>
    <row r="503" spans="1:3" hidden="1" x14ac:dyDescent="0.25">
      <c r="A503" s="20">
        <v>369</v>
      </c>
      <c r="B503" s="20" t="s">
        <v>628</v>
      </c>
      <c r="C503" s="20">
        <v>8</v>
      </c>
    </row>
    <row r="504" spans="1:3" hidden="1" x14ac:dyDescent="0.25">
      <c r="A504" s="20">
        <v>371</v>
      </c>
      <c r="B504" s="20" t="s">
        <v>629</v>
      </c>
      <c r="C504" s="20">
        <v>13</v>
      </c>
    </row>
    <row r="505" spans="1:3" hidden="1" x14ac:dyDescent="0.25">
      <c r="A505" s="20">
        <v>372</v>
      </c>
      <c r="B505" s="20" t="s">
        <v>630</v>
      </c>
      <c r="C505" s="20">
        <v>12</v>
      </c>
    </row>
    <row r="506" spans="1:3" hidden="1" x14ac:dyDescent="0.25">
      <c r="A506" s="20">
        <v>373</v>
      </c>
      <c r="B506" s="20" t="s">
        <v>631</v>
      </c>
      <c r="C506" s="20">
        <v>8</v>
      </c>
    </row>
    <row r="507" spans="1:3" hidden="1" x14ac:dyDescent="0.25">
      <c r="A507" s="20">
        <v>374</v>
      </c>
      <c r="B507" s="20" t="s">
        <v>632</v>
      </c>
      <c r="C507" s="20">
        <v>18</v>
      </c>
    </row>
    <row r="508" spans="1:3" hidden="1" x14ac:dyDescent="0.25">
      <c r="A508" s="20">
        <v>375</v>
      </c>
      <c r="B508" s="20" t="s">
        <v>633</v>
      </c>
      <c r="C508" s="20">
        <v>7</v>
      </c>
    </row>
    <row r="509" spans="1:3" hidden="1" x14ac:dyDescent="0.25">
      <c r="A509" s="20">
        <v>376</v>
      </c>
      <c r="B509" s="20" t="s">
        <v>634</v>
      </c>
      <c r="C509" s="20">
        <v>1</v>
      </c>
    </row>
    <row r="510" spans="1:3" hidden="1" x14ac:dyDescent="0.25">
      <c r="A510" s="20">
        <v>377</v>
      </c>
      <c r="B510" s="20" t="s">
        <v>635</v>
      </c>
      <c r="C510" s="20">
        <v>15</v>
      </c>
    </row>
    <row r="511" spans="1:3" hidden="1" x14ac:dyDescent="0.25">
      <c r="A511" s="20">
        <v>378</v>
      </c>
      <c r="B511" s="20" t="s">
        <v>636</v>
      </c>
      <c r="C511" s="20">
        <v>4</v>
      </c>
    </row>
    <row r="512" spans="1:3" hidden="1" x14ac:dyDescent="0.25">
      <c r="A512" s="20">
        <v>379</v>
      </c>
      <c r="B512" s="20" t="s">
        <v>637</v>
      </c>
      <c r="C512" s="20">
        <v>13</v>
      </c>
    </row>
    <row r="513" spans="1:3" hidden="1" x14ac:dyDescent="0.25">
      <c r="A513" s="20">
        <v>380</v>
      </c>
      <c r="B513" s="20" t="s">
        <v>638</v>
      </c>
      <c r="C513" s="20">
        <v>1</v>
      </c>
    </row>
    <row r="514" spans="1:3" hidden="1" x14ac:dyDescent="0.25">
      <c r="A514" s="20">
        <v>381</v>
      </c>
      <c r="B514" s="20" t="s">
        <v>639</v>
      </c>
      <c r="C514" s="20">
        <v>14</v>
      </c>
    </row>
    <row r="515" spans="1:3" hidden="1" x14ac:dyDescent="0.25">
      <c r="A515" s="20">
        <v>382</v>
      </c>
      <c r="B515" s="20" t="s">
        <v>640</v>
      </c>
      <c r="C515" s="20">
        <v>17</v>
      </c>
    </row>
    <row r="516" spans="1:3" hidden="1" x14ac:dyDescent="0.25">
      <c r="A516" s="20">
        <v>383</v>
      </c>
      <c r="B516" s="20" t="s">
        <v>641</v>
      </c>
      <c r="C516" s="20">
        <v>17</v>
      </c>
    </row>
    <row r="517" spans="1:3" hidden="1" x14ac:dyDescent="0.25">
      <c r="A517" s="20">
        <v>385</v>
      </c>
      <c r="B517" s="20" t="s">
        <v>642</v>
      </c>
      <c r="C517" s="20">
        <v>20</v>
      </c>
    </row>
    <row r="518" spans="1:3" hidden="1" x14ac:dyDescent="0.25">
      <c r="A518" s="20">
        <v>386</v>
      </c>
      <c r="B518" s="20" t="s">
        <v>643</v>
      </c>
      <c r="C518" s="20">
        <v>14</v>
      </c>
    </row>
    <row r="519" spans="1:3" hidden="1" x14ac:dyDescent="0.25">
      <c r="A519" s="20">
        <v>387</v>
      </c>
      <c r="B519" s="20" t="s">
        <v>644</v>
      </c>
      <c r="C519" s="20">
        <v>9</v>
      </c>
    </row>
    <row r="520" spans="1:3" hidden="1" x14ac:dyDescent="0.25">
      <c r="A520" s="20">
        <v>388</v>
      </c>
      <c r="B520" s="20" t="s">
        <v>645</v>
      </c>
      <c r="C520" s="20">
        <v>12</v>
      </c>
    </row>
    <row r="521" spans="1:3" hidden="1" x14ac:dyDescent="0.25">
      <c r="A521" s="20">
        <v>389</v>
      </c>
      <c r="B521" s="20" t="s">
        <v>646</v>
      </c>
      <c r="C521" s="20">
        <v>17</v>
      </c>
    </row>
    <row r="522" spans="1:3" hidden="1" x14ac:dyDescent="0.25">
      <c r="A522" s="20">
        <v>390</v>
      </c>
      <c r="B522" s="20" t="s">
        <v>647</v>
      </c>
      <c r="C522" s="20">
        <v>7</v>
      </c>
    </row>
    <row r="523" spans="1:3" hidden="1" x14ac:dyDescent="0.25">
      <c r="A523" s="20">
        <v>391</v>
      </c>
      <c r="B523" s="20" t="s">
        <v>648</v>
      </c>
      <c r="C523" s="20">
        <v>3</v>
      </c>
    </row>
    <row r="524" spans="1:3" hidden="1" x14ac:dyDescent="0.25">
      <c r="A524" s="20">
        <v>393</v>
      </c>
      <c r="B524" s="20" t="s">
        <v>649</v>
      </c>
      <c r="C524" s="20">
        <v>8</v>
      </c>
    </row>
    <row r="525" spans="1:3" hidden="1" x14ac:dyDescent="0.25">
      <c r="A525" s="20">
        <v>394</v>
      </c>
      <c r="B525" s="20" t="s">
        <v>650</v>
      </c>
      <c r="C525" s="20">
        <v>15</v>
      </c>
    </row>
    <row r="526" spans="1:3" hidden="1" x14ac:dyDescent="0.25">
      <c r="A526" s="20">
        <v>395</v>
      </c>
      <c r="B526" s="20" t="s">
        <v>651</v>
      </c>
      <c r="C526" s="20">
        <v>10</v>
      </c>
    </row>
    <row r="527" spans="1:3" hidden="1" x14ac:dyDescent="0.25">
      <c r="A527" s="20">
        <v>396</v>
      </c>
      <c r="B527" s="20" t="s">
        <v>652</v>
      </c>
      <c r="C527" s="20">
        <v>12</v>
      </c>
    </row>
    <row r="528" spans="1:3" hidden="1" x14ac:dyDescent="0.25">
      <c r="A528" s="20">
        <v>397</v>
      </c>
      <c r="B528" s="20" t="s">
        <v>653</v>
      </c>
      <c r="C528" s="20">
        <v>12</v>
      </c>
    </row>
    <row r="529" spans="1:3" hidden="1" x14ac:dyDescent="0.25">
      <c r="A529" s="20">
        <v>399</v>
      </c>
      <c r="B529" s="20" t="s">
        <v>654</v>
      </c>
      <c r="C529" s="20">
        <v>19</v>
      </c>
    </row>
    <row r="530" spans="1:3" hidden="1" x14ac:dyDescent="0.25">
      <c r="A530" s="20">
        <v>400</v>
      </c>
      <c r="B530" s="20" t="s">
        <v>655</v>
      </c>
      <c r="C530" s="20">
        <v>4</v>
      </c>
    </row>
    <row r="531" spans="1:3" hidden="1" x14ac:dyDescent="0.25">
      <c r="A531" s="20">
        <v>402</v>
      </c>
      <c r="B531" s="20" t="s">
        <v>656</v>
      </c>
      <c r="C531" s="20">
        <v>19</v>
      </c>
    </row>
    <row r="532" spans="1:3" hidden="1" x14ac:dyDescent="0.25">
      <c r="A532" s="20">
        <v>405</v>
      </c>
      <c r="B532" s="20" t="s">
        <v>657</v>
      </c>
      <c r="C532" s="20">
        <v>6</v>
      </c>
    </row>
    <row r="533" spans="1:3" hidden="1" x14ac:dyDescent="0.25">
      <c r="A533" s="20">
        <v>406</v>
      </c>
      <c r="B533" s="20" t="s">
        <v>658</v>
      </c>
      <c r="C533" s="20">
        <v>17</v>
      </c>
    </row>
    <row r="534" spans="1:3" hidden="1" x14ac:dyDescent="0.25">
      <c r="A534" s="20">
        <v>407</v>
      </c>
      <c r="B534" s="20" t="s">
        <v>659</v>
      </c>
      <c r="C534" s="20">
        <v>10</v>
      </c>
    </row>
    <row r="535" spans="1:3" hidden="1" x14ac:dyDescent="0.25">
      <c r="A535" s="20">
        <v>409</v>
      </c>
      <c r="B535" s="20" t="s">
        <v>660</v>
      </c>
      <c r="C535" s="20">
        <v>17</v>
      </c>
    </row>
    <row r="536" spans="1:3" hidden="1" x14ac:dyDescent="0.25">
      <c r="A536" s="20">
        <v>410</v>
      </c>
      <c r="B536" s="20" t="s">
        <v>661</v>
      </c>
      <c r="C536" s="20">
        <v>5</v>
      </c>
    </row>
    <row r="537" spans="1:3" hidden="1" x14ac:dyDescent="0.25">
      <c r="A537" s="20">
        <v>411</v>
      </c>
      <c r="B537" s="20" t="s">
        <v>662</v>
      </c>
      <c r="C537" s="20">
        <v>13</v>
      </c>
    </row>
    <row r="538" spans="1:3" hidden="1" x14ac:dyDescent="0.25">
      <c r="A538" s="20">
        <v>412</v>
      </c>
      <c r="B538" s="20" t="s">
        <v>663</v>
      </c>
      <c r="C538" s="20">
        <v>12</v>
      </c>
    </row>
    <row r="539" spans="1:3" hidden="1" x14ac:dyDescent="0.25">
      <c r="A539" s="20">
        <v>413</v>
      </c>
      <c r="B539" s="20" t="s">
        <v>664</v>
      </c>
      <c r="C539" s="20">
        <v>17</v>
      </c>
    </row>
    <row r="540" spans="1:3" hidden="1" x14ac:dyDescent="0.25">
      <c r="A540" s="20">
        <v>414</v>
      </c>
      <c r="B540" s="20" t="s">
        <v>665</v>
      </c>
      <c r="C540" s="20">
        <v>16</v>
      </c>
    </row>
    <row r="541" spans="1:3" hidden="1" x14ac:dyDescent="0.25">
      <c r="A541" s="20">
        <v>415</v>
      </c>
      <c r="B541" s="20" t="s">
        <v>666</v>
      </c>
      <c r="C541" s="20">
        <v>16</v>
      </c>
    </row>
    <row r="542" spans="1:3" hidden="1" x14ac:dyDescent="0.25">
      <c r="A542" s="20">
        <v>416</v>
      </c>
      <c r="B542" s="20" t="s">
        <v>667</v>
      </c>
      <c r="C542" s="20">
        <v>13</v>
      </c>
    </row>
    <row r="543" spans="1:3" hidden="1" x14ac:dyDescent="0.25">
      <c r="A543" s="20">
        <v>418</v>
      </c>
      <c r="B543" s="20" t="s">
        <v>668</v>
      </c>
      <c r="C543" s="20">
        <v>12</v>
      </c>
    </row>
    <row r="544" spans="1:3" hidden="1" x14ac:dyDescent="0.25">
      <c r="A544" s="20">
        <v>419</v>
      </c>
      <c r="B544" s="20" t="s">
        <v>669</v>
      </c>
      <c r="C544" s="20">
        <v>19</v>
      </c>
    </row>
    <row r="545" spans="1:3" hidden="1" x14ac:dyDescent="0.25">
      <c r="A545" s="20">
        <v>421</v>
      </c>
      <c r="B545" s="20" t="s">
        <v>670</v>
      </c>
      <c r="C545" s="20">
        <v>14</v>
      </c>
    </row>
    <row r="546" spans="1:3" hidden="1" x14ac:dyDescent="0.25">
      <c r="A546" s="20">
        <v>422</v>
      </c>
      <c r="B546" s="20" t="s">
        <v>671</v>
      </c>
      <c r="C546" s="20">
        <v>2</v>
      </c>
    </row>
    <row r="547" spans="1:3" hidden="1" x14ac:dyDescent="0.25">
      <c r="A547" s="20">
        <v>423</v>
      </c>
      <c r="B547" s="20" t="s">
        <v>672</v>
      </c>
      <c r="C547" s="20">
        <v>17</v>
      </c>
    </row>
    <row r="548" spans="1:3" hidden="1" x14ac:dyDescent="0.25">
      <c r="A548" s="20">
        <v>424</v>
      </c>
      <c r="B548" s="20" t="s">
        <v>673</v>
      </c>
      <c r="C548" s="20">
        <v>10</v>
      </c>
    </row>
    <row r="549" spans="1:3" hidden="1" x14ac:dyDescent="0.25">
      <c r="A549" s="20">
        <v>425</v>
      </c>
      <c r="B549" s="20" t="s">
        <v>674</v>
      </c>
      <c r="C549" s="20">
        <v>13</v>
      </c>
    </row>
    <row r="550" spans="1:3" hidden="1" x14ac:dyDescent="0.25">
      <c r="A550" s="20">
        <v>426</v>
      </c>
      <c r="B550" s="20" t="s">
        <v>675</v>
      </c>
      <c r="C550" s="20">
        <v>3</v>
      </c>
    </row>
    <row r="551" spans="1:3" hidden="1" x14ac:dyDescent="0.25">
      <c r="A551" s="20">
        <v>427</v>
      </c>
      <c r="B551" s="20" t="s">
        <v>676</v>
      </c>
      <c r="C551" s="20">
        <v>17</v>
      </c>
    </row>
    <row r="552" spans="1:3" hidden="1" x14ac:dyDescent="0.25">
      <c r="A552" s="20">
        <v>428</v>
      </c>
      <c r="B552" s="20" t="s">
        <v>677</v>
      </c>
      <c r="C552" s="20">
        <v>13</v>
      </c>
    </row>
    <row r="553" spans="1:3" hidden="1" x14ac:dyDescent="0.25">
      <c r="A553" s="20">
        <v>429</v>
      </c>
      <c r="B553" s="20" t="s">
        <v>678</v>
      </c>
      <c r="C553" s="20">
        <v>1</v>
      </c>
    </row>
    <row r="554" spans="1:3" hidden="1" x14ac:dyDescent="0.25">
      <c r="A554" s="20">
        <v>430</v>
      </c>
      <c r="B554" s="20" t="s">
        <v>679</v>
      </c>
      <c r="C554" s="20">
        <v>2</v>
      </c>
    </row>
    <row r="555" spans="1:3" hidden="1" x14ac:dyDescent="0.25">
      <c r="A555" s="20">
        <v>431</v>
      </c>
      <c r="B555" s="20" t="s">
        <v>680</v>
      </c>
      <c r="C555" s="20">
        <v>18</v>
      </c>
    </row>
    <row r="556" spans="1:3" hidden="1" x14ac:dyDescent="0.25">
      <c r="A556" s="20">
        <v>432</v>
      </c>
      <c r="B556" s="20" t="s">
        <v>681</v>
      </c>
      <c r="C556" s="20">
        <v>18</v>
      </c>
    </row>
    <row r="557" spans="1:3" hidden="1" x14ac:dyDescent="0.25">
      <c r="A557" s="20">
        <v>433</v>
      </c>
      <c r="B557" s="20" t="s">
        <v>682</v>
      </c>
      <c r="C557" s="20">
        <v>18</v>
      </c>
    </row>
    <row r="558" spans="1:3" hidden="1" x14ac:dyDescent="0.25">
      <c r="A558" s="20">
        <v>435</v>
      </c>
      <c r="B558" s="20" t="s">
        <v>683</v>
      </c>
      <c r="C558" s="20">
        <v>18</v>
      </c>
    </row>
    <row r="559" spans="1:3" hidden="1" x14ac:dyDescent="0.25">
      <c r="A559" s="20">
        <v>436</v>
      </c>
      <c r="B559" s="20" t="s">
        <v>684</v>
      </c>
      <c r="C559" s="20">
        <v>1</v>
      </c>
    </row>
    <row r="560" spans="1:3" hidden="1" x14ac:dyDescent="0.25">
      <c r="A560" s="20">
        <v>437</v>
      </c>
      <c r="B560" s="20" t="s">
        <v>685</v>
      </c>
      <c r="C560" s="20">
        <v>5</v>
      </c>
    </row>
    <row r="561" spans="1:3" hidden="1" x14ac:dyDescent="0.25">
      <c r="A561" s="20">
        <v>438</v>
      </c>
      <c r="B561" s="20" t="s">
        <v>686</v>
      </c>
      <c r="C561" s="20">
        <v>5</v>
      </c>
    </row>
    <row r="562" spans="1:3" hidden="1" x14ac:dyDescent="0.25">
      <c r="A562" s="20">
        <v>439</v>
      </c>
      <c r="B562" s="20" t="s">
        <v>687</v>
      </c>
      <c r="C562" s="20">
        <v>6</v>
      </c>
    </row>
    <row r="563" spans="1:3" hidden="1" x14ac:dyDescent="0.25">
      <c r="A563" s="20">
        <v>440</v>
      </c>
      <c r="B563" s="20" t="s">
        <v>688</v>
      </c>
      <c r="C563" s="20">
        <v>20</v>
      </c>
    </row>
    <row r="564" spans="1:3" hidden="1" x14ac:dyDescent="0.25">
      <c r="A564" s="20">
        <v>441</v>
      </c>
      <c r="B564" s="20" t="s">
        <v>689</v>
      </c>
      <c r="C564" s="20">
        <v>20</v>
      </c>
    </row>
    <row r="565" spans="1:3" hidden="1" x14ac:dyDescent="0.25">
      <c r="A565" s="20">
        <v>442</v>
      </c>
      <c r="B565" s="20" t="s">
        <v>690</v>
      </c>
      <c r="C565" s="20">
        <v>6</v>
      </c>
    </row>
    <row r="566" spans="1:3" hidden="1" x14ac:dyDescent="0.25">
      <c r="A566" s="20">
        <v>443</v>
      </c>
      <c r="B566" s="20" t="s">
        <v>691</v>
      </c>
      <c r="C566" s="20">
        <v>17</v>
      </c>
    </row>
    <row r="567" spans="1:3" hidden="1" x14ac:dyDescent="0.25">
      <c r="A567" s="20">
        <v>444</v>
      </c>
      <c r="B567" s="20" t="s">
        <v>692</v>
      </c>
      <c r="C567" s="20">
        <v>15</v>
      </c>
    </row>
    <row r="568" spans="1:3" hidden="1" x14ac:dyDescent="0.25">
      <c r="A568" s="20">
        <v>445</v>
      </c>
      <c r="B568" s="20" t="s">
        <v>693</v>
      </c>
      <c r="C568" s="20">
        <v>13</v>
      </c>
    </row>
    <row r="569" spans="1:3" hidden="1" x14ac:dyDescent="0.25">
      <c r="A569" s="20">
        <v>447</v>
      </c>
      <c r="B569" s="20" t="s">
        <v>694</v>
      </c>
      <c r="C569" s="20">
        <v>17</v>
      </c>
    </row>
    <row r="570" spans="1:3" hidden="1" x14ac:dyDescent="0.25">
      <c r="A570" s="20">
        <v>449</v>
      </c>
      <c r="B570" s="20" t="s">
        <v>695</v>
      </c>
      <c r="C570" s="20">
        <v>10</v>
      </c>
    </row>
    <row r="571" spans="1:3" hidden="1" x14ac:dyDescent="0.25">
      <c r="A571" s="20">
        <v>450</v>
      </c>
      <c r="B571" s="20" t="s">
        <v>696</v>
      </c>
      <c r="C571" s="20">
        <v>7</v>
      </c>
    </row>
    <row r="572" spans="1:3" hidden="1" x14ac:dyDescent="0.25">
      <c r="A572" s="20">
        <v>452</v>
      </c>
      <c r="B572" s="20" t="s">
        <v>697</v>
      </c>
      <c r="C572" s="20">
        <v>20</v>
      </c>
    </row>
    <row r="573" spans="1:3" hidden="1" x14ac:dyDescent="0.25">
      <c r="A573" s="20">
        <v>453</v>
      </c>
      <c r="B573" s="20" t="s">
        <v>698</v>
      </c>
      <c r="C573" s="20">
        <v>18</v>
      </c>
    </row>
    <row r="574" spans="1:3" hidden="1" x14ac:dyDescent="0.25">
      <c r="A574" s="20">
        <v>454</v>
      </c>
      <c r="B574" s="20" t="s">
        <v>699</v>
      </c>
      <c r="C574" s="20">
        <v>15</v>
      </c>
    </row>
    <row r="575" spans="1:3" hidden="1" x14ac:dyDescent="0.25">
      <c r="A575" s="20">
        <v>455</v>
      </c>
      <c r="B575" s="20" t="s">
        <v>700</v>
      </c>
      <c r="C575" s="20">
        <v>9</v>
      </c>
    </row>
    <row r="576" spans="1:3" hidden="1" x14ac:dyDescent="0.25">
      <c r="A576" s="20">
        <v>456</v>
      </c>
      <c r="B576" s="20" t="s">
        <v>701</v>
      </c>
      <c r="C576" s="20">
        <v>16</v>
      </c>
    </row>
    <row r="577" spans="1:3" hidden="1" x14ac:dyDescent="0.25">
      <c r="A577" s="20">
        <v>457</v>
      </c>
      <c r="B577" s="20" t="s">
        <v>702</v>
      </c>
      <c r="C577" s="20">
        <v>3</v>
      </c>
    </row>
    <row r="578" spans="1:3" hidden="1" x14ac:dyDescent="0.25">
      <c r="A578" s="20">
        <v>458</v>
      </c>
      <c r="B578" s="20" t="s">
        <v>703</v>
      </c>
      <c r="C578" s="20">
        <v>16</v>
      </c>
    </row>
    <row r="579" spans="1:3" hidden="1" x14ac:dyDescent="0.25">
      <c r="A579" s="20">
        <v>459</v>
      </c>
      <c r="B579" s="20" t="s">
        <v>704</v>
      </c>
      <c r="C579" s="20">
        <v>16</v>
      </c>
    </row>
    <row r="580" spans="1:3" hidden="1" x14ac:dyDescent="0.25">
      <c r="A580" s="20">
        <v>460</v>
      </c>
      <c r="B580" s="20" t="s">
        <v>705</v>
      </c>
      <c r="C580" s="20">
        <v>17</v>
      </c>
    </row>
    <row r="581" spans="1:3" hidden="1" x14ac:dyDescent="0.25">
      <c r="A581" s="20">
        <v>461</v>
      </c>
      <c r="B581" s="20" t="s">
        <v>706</v>
      </c>
      <c r="C581" s="20">
        <v>14</v>
      </c>
    </row>
    <row r="582" spans="1:3" hidden="1" x14ac:dyDescent="0.25">
      <c r="A582" s="20">
        <v>462</v>
      </c>
      <c r="B582" s="20" t="s">
        <v>707</v>
      </c>
      <c r="C582" s="20">
        <v>5</v>
      </c>
    </row>
    <row r="583" spans="1:3" hidden="1" x14ac:dyDescent="0.25">
      <c r="A583" s="20">
        <v>463</v>
      </c>
      <c r="B583" s="20" t="s">
        <v>708</v>
      </c>
      <c r="C583" s="20">
        <v>17</v>
      </c>
    </row>
    <row r="584" spans="1:3" hidden="1" x14ac:dyDescent="0.25">
      <c r="A584" s="20">
        <v>464</v>
      </c>
      <c r="B584" s="20" t="s">
        <v>709</v>
      </c>
      <c r="C584" s="20">
        <v>16</v>
      </c>
    </row>
    <row r="585" spans="1:3" hidden="1" x14ac:dyDescent="0.25">
      <c r="A585" s="20">
        <v>466</v>
      </c>
      <c r="B585" s="20" t="s">
        <v>710</v>
      </c>
      <c r="C585" s="20">
        <v>2</v>
      </c>
    </row>
    <row r="586" spans="1:3" hidden="1" x14ac:dyDescent="0.25">
      <c r="A586" s="20">
        <v>467</v>
      </c>
      <c r="B586" s="20" t="s">
        <v>711</v>
      </c>
      <c r="C586" s="20">
        <v>9</v>
      </c>
    </row>
    <row r="587" spans="1:3" hidden="1" x14ac:dyDescent="0.25">
      <c r="A587" s="20">
        <v>468</v>
      </c>
      <c r="B587" s="20" t="s">
        <v>712</v>
      </c>
      <c r="C587" s="20">
        <v>18</v>
      </c>
    </row>
    <row r="588" spans="1:3" hidden="1" x14ac:dyDescent="0.25">
      <c r="A588" s="20">
        <v>469</v>
      </c>
      <c r="B588" s="20" t="s">
        <v>713</v>
      </c>
      <c r="C588" s="20">
        <v>15</v>
      </c>
    </row>
    <row r="589" spans="1:3" hidden="1" x14ac:dyDescent="0.25">
      <c r="A589" s="20">
        <v>471</v>
      </c>
      <c r="B589" s="20" t="s">
        <v>714</v>
      </c>
      <c r="C589" s="20">
        <v>14</v>
      </c>
    </row>
    <row r="590" spans="1:3" hidden="1" x14ac:dyDescent="0.25">
      <c r="A590" s="20">
        <v>472</v>
      </c>
      <c r="B590" s="20" t="s">
        <v>715</v>
      </c>
      <c r="C590" s="20">
        <v>5</v>
      </c>
    </row>
    <row r="591" spans="1:3" hidden="1" x14ac:dyDescent="0.25">
      <c r="A591" s="20">
        <v>473</v>
      </c>
      <c r="B591" s="20" t="s">
        <v>716</v>
      </c>
      <c r="C591" s="20">
        <v>5</v>
      </c>
    </row>
    <row r="592" spans="1:3" hidden="1" x14ac:dyDescent="0.25">
      <c r="A592" s="20">
        <v>474</v>
      </c>
      <c r="B592" s="20" t="s">
        <v>717</v>
      </c>
      <c r="C592" s="20">
        <v>19</v>
      </c>
    </row>
    <row r="593" spans="1:3" hidden="1" x14ac:dyDescent="0.25">
      <c r="A593" s="20">
        <v>475</v>
      </c>
      <c r="B593" s="20" t="s">
        <v>718</v>
      </c>
      <c r="C593" s="20">
        <v>11</v>
      </c>
    </row>
    <row r="594" spans="1:3" hidden="1" x14ac:dyDescent="0.25">
      <c r="A594" s="20">
        <v>476</v>
      </c>
      <c r="B594" s="20" t="s">
        <v>719</v>
      </c>
      <c r="C594" s="20">
        <v>12</v>
      </c>
    </row>
    <row r="595" spans="1:3" hidden="1" x14ac:dyDescent="0.25">
      <c r="A595" s="20">
        <v>477</v>
      </c>
      <c r="B595" s="20" t="s">
        <v>720</v>
      </c>
      <c r="C595" s="20">
        <v>3</v>
      </c>
    </row>
    <row r="596" spans="1:3" hidden="1" x14ac:dyDescent="0.25">
      <c r="A596" s="20">
        <v>478</v>
      </c>
      <c r="B596" s="20" t="s">
        <v>721</v>
      </c>
      <c r="C596" s="20">
        <v>7</v>
      </c>
    </row>
    <row r="597" spans="1:3" hidden="1" x14ac:dyDescent="0.25">
      <c r="A597" s="20">
        <v>480</v>
      </c>
      <c r="B597" s="20" t="s">
        <v>722</v>
      </c>
      <c r="C597" s="20">
        <v>7</v>
      </c>
    </row>
    <row r="598" spans="1:3" hidden="1" x14ac:dyDescent="0.25">
      <c r="A598" s="20">
        <v>481</v>
      </c>
      <c r="B598" s="20" t="s">
        <v>723</v>
      </c>
      <c r="C598" s="20">
        <v>2</v>
      </c>
    </row>
    <row r="599" spans="1:3" hidden="1" x14ac:dyDescent="0.25">
      <c r="A599" s="20">
        <v>483</v>
      </c>
      <c r="B599" s="20" t="s">
        <v>724</v>
      </c>
      <c r="C599" s="20">
        <v>7</v>
      </c>
    </row>
    <row r="600" spans="1:3" hidden="1" x14ac:dyDescent="0.25">
      <c r="A600" s="20">
        <v>484</v>
      </c>
      <c r="B600" s="20" t="s">
        <v>725</v>
      </c>
      <c r="C600" s="20">
        <v>5</v>
      </c>
    </row>
    <row r="601" spans="1:3" hidden="1" x14ac:dyDescent="0.25">
      <c r="A601" s="20">
        <v>485</v>
      </c>
      <c r="B601" s="20" t="s">
        <v>726</v>
      </c>
      <c r="C601" s="20">
        <v>14</v>
      </c>
    </row>
    <row r="602" spans="1:3" hidden="1" x14ac:dyDescent="0.25">
      <c r="A602" s="20">
        <v>486</v>
      </c>
      <c r="B602" s="20" t="s">
        <v>727</v>
      </c>
      <c r="C602" s="20">
        <v>5</v>
      </c>
    </row>
    <row r="603" spans="1:3" hidden="1" x14ac:dyDescent="0.25">
      <c r="A603" s="20">
        <v>487</v>
      </c>
      <c r="B603" s="20" t="s">
        <v>728</v>
      </c>
      <c r="C603" s="20">
        <v>16</v>
      </c>
    </row>
    <row r="604" spans="1:3" hidden="1" x14ac:dyDescent="0.25">
      <c r="A604" s="20">
        <v>488</v>
      </c>
      <c r="B604" s="20" t="s">
        <v>729</v>
      </c>
      <c r="C604" s="20">
        <v>8</v>
      </c>
    </row>
    <row r="605" spans="1:3" hidden="1" x14ac:dyDescent="0.25">
      <c r="A605" s="20">
        <v>489</v>
      </c>
      <c r="B605" s="20" t="s">
        <v>730</v>
      </c>
      <c r="C605" s="20">
        <v>13</v>
      </c>
    </row>
    <row r="606" spans="1:3" hidden="1" x14ac:dyDescent="0.25">
      <c r="A606" s="20">
        <v>490</v>
      </c>
      <c r="B606" s="20" t="s">
        <v>731</v>
      </c>
      <c r="C606" s="20">
        <v>6</v>
      </c>
    </row>
    <row r="607" spans="1:3" hidden="1" x14ac:dyDescent="0.25">
      <c r="A607" s="20">
        <v>491</v>
      </c>
      <c r="B607" s="20" t="s">
        <v>732</v>
      </c>
      <c r="C607" s="20">
        <v>10</v>
      </c>
    </row>
    <row r="608" spans="1:3" hidden="1" x14ac:dyDescent="0.25">
      <c r="A608" s="20">
        <v>492</v>
      </c>
      <c r="B608" s="20" t="s">
        <v>733</v>
      </c>
      <c r="C608" s="20">
        <v>17</v>
      </c>
    </row>
    <row r="609" spans="1:3" hidden="1" x14ac:dyDescent="0.25">
      <c r="A609" s="20">
        <v>493</v>
      </c>
      <c r="B609" s="20" t="s">
        <v>734</v>
      </c>
      <c r="C609" s="20">
        <v>5</v>
      </c>
    </row>
    <row r="610" spans="1:3" hidden="1" x14ac:dyDescent="0.25">
      <c r="A610" s="20">
        <v>494</v>
      </c>
      <c r="B610" s="20" t="s">
        <v>735</v>
      </c>
      <c r="C610" s="20">
        <v>14</v>
      </c>
    </row>
    <row r="611" spans="1:3" hidden="1" x14ac:dyDescent="0.25">
      <c r="A611" s="20">
        <v>495</v>
      </c>
      <c r="B611" s="20" t="s">
        <v>736</v>
      </c>
      <c r="C611" s="20">
        <v>8</v>
      </c>
    </row>
    <row r="612" spans="1:3" hidden="1" x14ac:dyDescent="0.25">
      <c r="A612" s="20">
        <v>497</v>
      </c>
      <c r="B612" s="20" t="s">
        <v>737</v>
      </c>
      <c r="C612" s="20">
        <v>18</v>
      </c>
    </row>
    <row r="613" spans="1:3" hidden="1" x14ac:dyDescent="0.25">
      <c r="A613" s="20">
        <v>498</v>
      </c>
      <c r="B613" s="20" t="s">
        <v>738</v>
      </c>
      <c r="C613" s="20">
        <v>18</v>
      </c>
    </row>
    <row r="614" spans="1:3" hidden="1" x14ac:dyDescent="0.25">
      <c r="A614" s="20">
        <v>499</v>
      </c>
      <c r="B614" s="20" t="s">
        <v>739</v>
      </c>
      <c r="C614" s="20">
        <v>10</v>
      </c>
    </row>
    <row r="615" spans="1:3" hidden="1" x14ac:dyDescent="0.25">
      <c r="A615" s="20">
        <v>500</v>
      </c>
      <c r="B615" s="20" t="s">
        <v>740</v>
      </c>
      <c r="C615" s="20">
        <v>15</v>
      </c>
    </row>
    <row r="616" spans="1:3" hidden="1" x14ac:dyDescent="0.25">
      <c r="A616" s="20">
        <v>502</v>
      </c>
      <c r="B616" s="20" t="s">
        <v>741</v>
      </c>
      <c r="C616" s="20">
        <v>18</v>
      </c>
    </row>
    <row r="617" spans="1:3" hidden="1" x14ac:dyDescent="0.25">
      <c r="A617" s="20">
        <v>503</v>
      </c>
      <c r="B617" s="20" t="s">
        <v>742</v>
      </c>
      <c r="C617" s="20">
        <v>4</v>
      </c>
    </row>
    <row r="618" spans="1:3" hidden="1" x14ac:dyDescent="0.25">
      <c r="A618" s="20">
        <v>504</v>
      </c>
      <c r="B618" s="20" t="s">
        <v>743</v>
      </c>
      <c r="C618" s="20">
        <v>20</v>
      </c>
    </row>
    <row r="619" spans="1:3" hidden="1" x14ac:dyDescent="0.25">
      <c r="A619" s="20">
        <v>505</v>
      </c>
      <c r="B619" s="20" t="s">
        <v>744</v>
      </c>
      <c r="C619" s="20">
        <v>16</v>
      </c>
    </row>
    <row r="620" spans="1:3" hidden="1" x14ac:dyDescent="0.25">
      <c r="A620" s="20">
        <v>506</v>
      </c>
      <c r="B620" s="20" t="s">
        <v>745</v>
      </c>
      <c r="C620" s="20">
        <v>12</v>
      </c>
    </row>
    <row r="621" spans="1:3" hidden="1" x14ac:dyDescent="0.25">
      <c r="A621" s="20">
        <v>507</v>
      </c>
      <c r="B621" s="20" t="s">
        <v>746</v>
      </c>
      <c r="C621" s="20">
        <v>8</v>
      </c>
    </row>
    <row r="622" spans="1:3" hidden="1" x14ac:dyDescent="0.25">
      <c r="A622" s="20">
        <v>508</v>
      </c>
      <c r="B622" s="20" t="s">
        <v>747</v>
      </c>
      <c r="C622" s="20">
        <v>1</v>
      </c>
    </row>
    <row r="623" spans="1:3" hidden="1" x14ac:dyDescent="0.25">
      <c r="A623" s="20">
        <v>509</v>
      </c>
      <c r="B623" s="20" t="s">
        <v>748</v>
      </c>
      <c r="C623" s="20">
        <v>8</v>
      </c>
    </row>
    <row r="624" spans="1:3" hidden="1" x14ac:dyDescent="0.25">
      <c r="A624" s="20">
        <v>510</v>
      </c>
      <c r="B624" s="20" t="s">
        <v>749</v>
      </c>
      <c r="C624" s="20">
        <v>3</v>
      </c>
    </row>
    <row r="625" spans="1:3" hidden="1" x14ac:dyDescent="0.25">
      <c r="A625" s="20">
        <v>511</v>
      </c>
      <c r="B625" s="20" t="s">
        <v>750</v>
      </c>
      <c r="C625" s="20">
        <v>17</v>
      </c>
    </row>
    <row r="626" spans="1:3" hidden="1" x14ac:dyDescent="0.25">
      <c r="A626" s="20">
        <v>512</v>
      </c>
      <c r="B626" s="20" t="s">
        <v>751</v>
      </c>
      <c r="C626" s="20">
        <v>9</v>
      </c>
    </row>
    <row r="627" spans="1:3" hidden="1" x14ac:dyDescent="0.25">
      <c r="A627" s="20">
        <v>513</v>
      </c>
      <c r="B627" s="20" t="s">
        <v>752</v>
      </c>
      <c r="C627" s="20">
        <v>17</v>
      </c>
    </row>
    <row r="628" spans="1:3" hidden="1" x14ac:dyDescent="0.25">
      <c r="A628" s="20">
        <v>514</v>
      </c>
      <c r="B628" s="20" t="s">
        <v>753</v>
      </c>
      <c r="C628" s="20">
        <v>12</v>
      </c>
    </row>
    <row r="629" spans="1:3" hidden="1" x14ac:dyDescent="0.25">
      <c r="A629" s="20">
        <v>516</v>
      </c>
      <c r="B629" s="20" t="s">
        <v>754</v>
      </c>
      <c r="C629" s="20">
        <v>18</v>
      </c>
    </row>
    <row r="630" spans="1:3" hidden="1" x14ac:dyDescent="0.25">
      <c r="A630" s="20">
        <v>517</v>
      </c>
      <c r="B630" s="20" t="s">
        <v>755</v>
      </c>
      <c r="C630" s="20">
        <v>14</v>
      </c>
    </row>
    <row r="631" spans="1:3" hidden="1" x14ac:dyDescent="0.25">
      <c r="A631" s="20">
        <v>518</v>
      </c>
      <c r="B631" s="20" t="s">
        <v>756</v>
      </c>
      <c r="C631" s="20">
        <v>16</v>
      </c>
    </row>
    <row r="632" spans="1:3" hidden="1" x14ac:dyDescent="0.25">
      <c r="A632" s="20">
        <v>519</v>
      </c>
      <c r="B632" s="20" t="s">
        <v>757</v>
      </c>
      <c r="C632" s="20">
        <v>2</v>
      </c>
    </row>
    <row r="633" spans="1:3" hidden="1" x14ac:dyDescent="0.25">
      <c r="A633" s="20">
        <v>520</v>
      </c>
      <c r="B633" s="20" t="s">
        <v>758</v>
      </c>
      <c r="C633" s="20">
        <v>13</v>
      </c>
    </row>
    <row r="634" spans="1:3" hidden="1" x14ac:dyDescent="0.25">
      <c r="A634" s="20">
        <v>521</v>
      </c>
      <c r="B634" s="20" t="s">
        <v>759</v>
      </c>
      <c r="C634" s="20">
        <v>2</v>
      </c>
    </row>
    <row r="635" spans="1:3" hidden="1" x14ac:dyDescent="0.25">
      <c r="A635" s="20">
        <v>522</v>
      </c>
      <c r="B635" s="20" t="s">
        <v>760</v>
      </c>
      <c r="C635" s="20">
        <v>17</v>
      </c>
    </row>
    <row r="636" spans="1:3" hidden="1" x14ac:dyDescent="0.25">
      <c r="A636" s="20">
        <v>523</v>
      </c>
      <c r="B636" s="20" t="s">
        <v>761</v>
      </c>
      <c r="C636" s="20">
        <v>19</v>
      </c>
    </row>
    <row r="637" spans="1:3" hidden="1" x14ac:dyDescent="0.25">
      <c r="A637" s="20">
        <v>524</v>
      </c>
      <c r="B637" s="20" t="s">
        <v>762</v>
      </c>
      <c r="C637" s="20">
        <v>10</v>
      </c>
    </row>
    <row r="638" spans="1:3" hidden="1" x14ac:dyDescent="0.25">
      <c r="A638" s="20">
        <v>525</v>
      </c>
      <c r="B638" s="20" t="s">
        <v>763</v>
      </c>
      <c r="C638" s="20">
        <v>13</v>
      </c>
    </row>
    <row r="639" spans="1:3" hidden="1" x14ac:dyDescent="0.25">
      <c r="A639" s="20">
        <v>526</v>
      </c>
      <c r="B639" s="20" t="s">
        <v>764</v>
      </c>
      <c r="C639" s="20">
        <v>2</v>
      </c>
    </row>
    <row r="640" spans="1:3" hidden="1" x14ac:dyDescent="0.25">
      <c r="A640" s="20">
        <v>527</v>
      </c>
      <c r="B640" s="20" t="s">
        <v>765</v>
      </c>
      <c r="C640" s="20">
        <v>2</v>
      </c>
    </row>
    <row r="641" spans="1:3" hidden="1" x14ac:dyDescent="0.25">
      <c r="A641" s="20">
        <v>528</v>
      </c>
      <c r="B641" s="20" t="s">
        <v>766</v>
      </c>
      <c r="C641" s="20">
        <v>17</v>
      </c>
    </row>
    <row r="642" spans="1:3" hidden="1" x14ac:dyDescent="0.25">
      <c r="A642" s="20">
        <v>530</v>
      </c>
      <c r="B642" s="20" t="s">
        <v>767</v>
      </c>
      <c r="C642" s="20">
        <v>4</v>
      </c>
    </row>
    <row r="643" spans="1:3" hidden="1" x14ac:dyDescent="0.25">
      <c r="A643" s="20">
        <v>531</v>
      </c>
      <c r="B643" s="20" t="s">
        <v>768</v>
      </c>
      <c r="C643" s="20">
        <v>18</v>
      </c>
    </row>
    <row r="644" spans="1:3" hidden="1" x14ac:dyDescent="0.25">
      <c r="A644" s="20">
        <v>533</v>
      </c>
      <c r="B644" s="20" t="s">
        <v>769</v>
      </c>
      <c r="C644" s="20">
        <v>1</v>
      </c>
    </row>
    <row r="645" spans="1:3" hidden="1" x14ac:dyDescent="0.25">
      <c r="A645" s="20">
        <v>534</v>
      </c>
      <c r="B645" s="20" t="s">
        <v>770</v>
      </c>
      <c r="C645" s="20">
        <v>16</v>
      </c>
    </row>
    <row r="646" spans="1:3" hidden="1" x14ac:dyDescent="0.25">
      <c r="A646" s="20">
        <v>535</v>
      </c>
      <c r="B646" s="20" t="s">
        <v>771</v>
      </c>
      <c r="C646" s="20">
        <v>16</v>
      </c>
    </row>
    <row r="647" spans="1:3" hidden="1" x14ac:dyDescent="0.25">
      <c r="A647" s="20">
        <v>536</v>
      </c>
      <c r="B647" s="20" t="s">
        <v>772</v>
      </c>
      <c r="C647" s="20">
        <v>1</v>
      </c>
    </row>
    <row r="648" spans="1:3" hidden="1" x14ac:dyDescent="0.25">
      <c r="A648" s="20">
        <v>537</v>
      </c>
      <c r="B648" s="20" t="s">
        <v>773</v>
      </c>
      <c r="C648" s="20">
        <v>13</v>
      </c>
    </row>
    <row r="649" spans="1:3" hidden="1" x14ac:dyDescent="0.25">
      <c r="A649" s="20">
        <v>538</v>
      </c>
      <c r="B649" s="20" t="s">
        <v>774</v>
      </c>
      <c r="C649" s="20">
        <v>8</v>
      </c>
    </row>
    <row r="650" spans="1:3" hidden="1" x14ac:dyDescent="0.25">
      <c r="A650" s="20">
        <v>539</v>
      </c>
      <c r="B650" s="20" t="s">
        <v>775</v>
      </c>
      <c r="C650" s="20">
        <v>1</v>
      </c>
    </row>
    <row r="651" spans="1:3" hidden="1" x14ac:dyDescent="0.25">
      <c r="A651" s="20">
        <v>540</v>
      </c>
      <c r="B651" s="20" t="s">
        <v>776</v>
      </c>
      <c r="C651" s="20">
        <v>1</v>
      </c>
    </row>
    <row r="652" spans="1:3" hidden="1" x14ac:dyDescent="0.25">
      <c r="A652" s="20">
        <v>541</v>
      </c>
      <c r="B652" s="20" t="s">
        <v>777</v>
      </c>
      <c r="C652" s="20">
        <v>1</v>
      </c>
    </row>
    <row r="653" spans="1:3" hidden="1" x14ac:dyDescent="0.25">
      <c r="A653" s="20">
        <v>542</v>
      </c>
      <c r="B653" s="20" t="s">
        <v>778</v>
      </c>
      <c r="C653" s="20">
        <v>1</v>
      </c>
    </row>
    <row r="654" spans="1:3" hidden="1" x14ac:dyDescent="0.25">
      <c r="A654" s="20">
        <v>543</v>
      </c>
      <c r="B654" s="20" t="s">
        <v>779</v>
      </c>
      <c r="C654" s="20">
        <v>1</v>
      </c>
    </row>
    <row r="655" spans="1:3" hidden="1" x14ac:dyDescent="0.25">
      <c r="A655" s="20">
        <v>544</v>
      </c>
      <c r="B655" s="20" t="s">
        <v>780</v>
      </c>
      <c r="C655" s="20">
        <v>1</v>
      </c>
    </row>
    <row r="656" spans="1:3" hidden="1" x14ac:dyDescent="0.25">
      <c r="A656" s="20">
        <v>545</v>
      </c>
      <c r="B656" s="20" t="s">
        <v>781</v>
      </c>
      <c r="C656" s="20">
        <v>1</v>
      </c>
    </row>
    <row r="657" spans="1:3" hidden="1" x14ac:dyDescent="0.25">
      <c r="A657" s="20">
        <v>547</v>
      </c>
      <c r="B657" s="20" t="s">
        <v>782</v>
      </c>
      <c r="C657" s="20">
        <v>1</v>
      </c>
    </row>
    <row r="658" spans="1:3" hidden="1" x14ac:dyDescent="0.25">
      <c r="A658" s="20">
        <v>548</v>
      </c>
      <c r="B658" s="20" t="s">
        <v>783</v>
      </c>
      <c r="C658" s="20">
        <v>1</v>
      </c>
    </row>
    <row r="659" spans="1:3" hidden="1" x14ac:dyDescent="0.25">
      <c r="A659" s="20">
        <v>549</v>
      </c>
      <c r="B659" s="20" t="s">
        <v>784</v>
      </c>
      <c r="C659" s="20">
        <v>1</v>
      </c>
    </row>
    <row r="660" spans="1:3" hidden="1" x14ac:dyDescent="0.25">
      <c r="A660" s="20">
        <v>550</v>
      </c>
      <c r="B660" s="20" t="s">
        <v>785</v>
      </c>
      <c r="C660" s="20">
        <v>1</v>
      </c>
    </row>
    <row r="661" spans="1:3" hidden="1" x14ac:dyDescent="0.25">
      <c r="A661" s="20">
        <v>551</v>
      </c>
      <c r="B661" s="20" t="s">
        <v>786</v>
      </c>
      <c r="C661" s="20">
        <v>1</v>
      </c>
    </row>
    <row r="662" spans="1:3" hidden="1" x14ac:dyDescent="0.25">
      <c r="A662" s="20">
        <v>552</v>
      </c>
      <c r="B662" s="20" t="s">
        <v>787</v>
      </c>
      <c r="C662" s="20">
        <v>2</v>
      </c>
    </row>
    <row r="663" spans="1:3" hidden="1" x14ac:dyDescent="0.25">
      <c r="A663" s="20">
        <v>553</v>
      </c>
      <c r="B663" s="20" t="s">
        <v>788</v>
      </c>
      <c r="C663" s="20">
        <v>2</v>
      </c>
    </row>
    <row r="664" spans="1:3" hidden="1" x14ac:dyDescent="0.25">
      <c r="A664" s="20">
        <v>554</v>
      </c>
      <c r="B664" s="20" t="s">
        <v>789</v>
      </c>
      <c r="C664" s="20">
        <v>2</v>
      </c>
    </row>
    <row r="665" spans="1:3" hidden="1" x14ac:dyDescent="0.25">
      <c r="A665" s="20">
        <v>555</v>
      </c>
      <c r="B665" s="20" t="s">
        <v>790</v>
      </c>
      <c r="C665" s="20">
        <v>3</v>
      </c>
    </row>
    <row r="666" spans="1:3" hidden="1" x14ac:dyDescent="0.25">
      <c r="A666" s="20">
        <v>556</v>
      </c>
      <c r="B666" s="20" t="s">
        <v>791</v>
      </c>
      <c r="C666" s="20">
        <v>4</v>
      </c>
    </row>
    <row r="667" spans="1:3" hidden="1" x14ac:dyDescent="0.25">
      <c r="A667" s="20">
        <v>557</v>
      </c>
      <c r="B667" s="20" t="s">
        <v>792</v>
      </c>
      <c r="C667" s="20">
        <v>4</v>
      </c>
    </row>
    <row r="668" spans="1:3" hidden="1" x14ac:dyDescent="0.25">
      <c r="A668" s="20">
        <v>558</v>
      </c>
      <c r="B668" s="20" t="s">
        <v>793</v>
      </c>
      <c r="C668" s="20">
        <v>5</v>
      </c>
    </row>
    <row r="669" spans="1:3" hidden="1" x14ac:dyDescent="0.25">
      <c r="A669" s="20">
        <v>559</v>
      </c>
      <c r="B669" s="20" t="s">
        <v>794</v>
      </c>
      <c r="C669" s="20">
        <v>6</v>
      </c>
    </row>
    <row r="670" spans="1:3" hidden="1" x14ac:dyDescent="0.25">
      <c r="A670" s="20">
        <v>560</v>
      </c>
      <c r="B670" s="20" t="s">
        <v>795</v>
      </c>
      <c r="C670" s="20">
        <v>6</v>
      </c>
    </row>
    <row r="671" spans="1:3" hidden="1" x14ac:dyDescent="0.25">
      <c r="A671" s="20">
        <v>561</v>
      </c>
      <c r="B671" s="20" t="s">
        <v>796</v>
      </c>
      <c r="C671" s="20">
        <v>6</v>
      </c>
    </row>
    <row r="672" spans="1:3" hidden="1" x14ac:dyDescent="0.25">
      <c r="A672" s="20">
        <v>562</v>
      </c>
      <c r="B672" s="20" t="s">
        <v>797</v>
      </c>
      <c r="C672" s="20">
        <v>7</v>
      </c>
    </row>
    <row r="673" spans="1:3" hidden="1" x14ac:dyDescent="0.25">
      <c r="A673" s="20">
        <v>564</v>
      </c>
      <c r="B673" s="20" t="s">
        <v>798</v>
      </c>
      <c r="C673" s="20">
        <v>7</v>
      </c>
    </row>
    <row r="674" spans="1:3" hidden="1" x14ac:dyDescent="0.25">
      <c r="A674" s="20">
        <v>565</v>
      </c>
      <c r="B674" s="20" t="s">
        <v>799</v>
      </c>
      <c r="C674" s="20">
        <v>7</v>
      </c>
    </row>
    <row r="675" spans="1:3" hidden="1" x14ac:dyDescent="0.25">
      <c r="A675" s="20">
        <v>566</v>
      </c>
      <c r="B675" s="20" t="s">
        <v>800</v>
      </c>
      <c r="C675" s="20">
        <v>7</v>
      </c>
    </row>
    <row r="676" spans="1:3" hidden="1" x14ac:dyDescent="0.25">
      <c r="A676" s="20">
        <v>567</v>
      </c>
      <c r="B676" s="20" t="s">
        <v>801</v>
      </c>
      <c r="C676" s="20">
        <v>12</v>
      </c>
    </row>
    <row r="677" spans="1:3" hidden="1" x14ac:dyDescent="0.25">
      <c r="A677" s="20">
        <v>568</v>
      </c>
      <c r="B677" s="20" t="s">
        <v>802</v>
      </c>
      <c r="C677" s="20">
        <v>12</v>
      </c>
    </row>
    <row r="678" spans="1:3" hidden="1" x14ac:dyDescent="0.25">
      <c r="A678" s="20">
        <v>569</v>
      </c>
      <c r="B678" s="20" t="s">
        <v>803</v>
      </c>
      <c r="C678" s="20">
        <v>12</v>
      </c>
    </row>
    <row r="679" spans="1:3" hidden="1" x14ac:dyDescent="0.25">
      <c r="A679" s="20">
        <v>570</v>
      </c>
      <c r="B679" s="20" t="s">
        <v>804</v>
      </c>
      <c r="C679" s="20">
        <v>12</v>
      </c>
    </row>
    <row r="680" spans="1:3" hidden="1" x14ac:dyDescent="0.25">
      <c r="A680" s="20">
        <v>571</v>
      </c>
      <c r="B680" s="20" t="s">
        <v>805</v>
      </c>
      <c r="C680" s="20">
        <v>13</v>
      </c>
    </row>
    <row r="681" spans="1:3" hidden="1" x14ac:dyDescent="0.25">
      <c r="A681" s="20">
        <v>572</v>
      </c>
      <c r="B681" s="20" t="s">
        <v>806</v>
      </c>
      <c r="C681" s="20">
        <v>13</v>
      </c>
    </row>
    <row r="682" spans="1:3" hidden="1" x14ac:dyDescent="0.25">
      <c r="A682" s="20">
        <v>573</v>
      </c>
      <c r="B682" s="20" t="s">
        <v>807</v>
      </c>
      <c r="C682" s="20">
        <v>13</v>
      </c>
    </row>
    <row r="683" spans="1:3" hidden="1" x14ac:dyDescent="0.25">
      <c r="A683" s="20">
        <v>574</v>
      </c>
      <c r="B683" s="20" t="s">
        <v>808</v>
      </c>
      <c r="C683" s="20">
        <v>13</v>
      </c>
    </row>
    <row r="684" spans="1:3" hidden="1" x14ac:dyDescent="0.25">
      <c r="A684" s="20">
        <v>575</v>
      </c>
      <c r="B684" s="20" t="s">
        <v>809</v>
      </c>
      <c r="C684" s="20">
        <v>13</v>
      </c>
    </row>
    <row r="685" spans="1:3" hidden="1" x14ac:dyDescent="0.25">
      <c r="A685" s="20">
        <v>576</v>
      </c>
      <c r="B685" s="20" t="s">
        <v>810</v>
      </c>
      <c r="C685" s="20">
        <v>14</v>
      </c>
    </row>
    <row r="686" spans="1:3" hidden="1" x14ac:dyDescent="0.25">
      <c r="A686" s="20">
        <v>578</v>
      </c>
      <c r="B686" s="20" t="s">
        <v>811</v>
      </c>
      <c r="C686" s="20">
        <v>14</v>
      </c>
    </row>
    <row r="687" spans="1:3" hidden="1" x14ac:dyDescent="0.25">
      <c r="A687" s="20">
        <v>579</v>
      </c>
      <c r="B687" s="20" t="s">
        <v>812</v>
      </c>
      <c r="C687" s="20">
        <v>14</v>
      </c>
    </row>
    <row r="688" spans="1:3" hidden="1" x14ac:dyDescent="0.25">
      <c r="A688" s="20">
        <v>581</v>
      </c>
      <c r="B688" s="20" t="s">
        <v>813</v>
      </c>
      <c r="C688" s="20">
        <v>15</v>
      </c>
    </row>
    <row r="689" spans="1:3" hidden="1" x14ac:dyDescent="0.25">
      <c r="A689" s="20">
        <v>582</v>
      </c>
      <c r="B689" s="20" t="s">
        <v>814</v>
      </c>
      <c r="C689" s="20">
        <v>15</v>
      </c>
    </row>
    <row r="690" spans="1:3" hidden="1" x14ac:dyDescent="0.25">
      <c r="A690" s="20">
        <v>583</v>
      </c>
      <c r="B690" s="20" t="s">
        <v>815</v>
      </c>
      <c r="C690" s="20">
        <v>16</v>
      </c>
    </row>
    <row r="691" spans="1:3" hidden="1" x14ac:dyDescent="0.25">
      <c r="A691" s="20">
        <v>584</v>
      </c>
      <c r="B691" s="20" t="s">
        <v>816</v>
      </c>
      <c r="C691" s="20">
        <v>16</v>
      </c>
    </row>
    <row r="692" spans="1:3" hidden="1" x14ac:dyDescent="0.25">
      <c r="A692" s="20">
        <v>585</v>
      </c>
      <c r="B692" s="20" t="s">
        <v>817</v>
      </c>
      <c r="C692" s="20">
        <v>17</v>
      </c>
    </row>
    <row r="693" spans="1:3" hidden="1" x14ac:dyDescent="0.25">
      <c r="A693" s="20">
        <v>586</v>
      </c>
      <c r="B693" s="20" t="s">
        <v>818</v>
      </c>
      <c r="C693" s="20">
        <v>17</v>
      </c>
    </row>
    <row r="694" spans="1:3" hidden="1" x14ac:dyDescent="0.25">
      <c r="A694" s="20">
        <v>587</v>
      </c>
      <c r="B694" s="20" t="s">
        <v>819</v>
      </c>
      <c r="C694" s="20">
        <v>17</v>
      </c>
    </row>
    <row r="695" spans="1:3" hidden="1" x14ac:dyDescent="0.25">
      <c r="A695" s="20">
        <v>588</v>
      </c>
      <c r="B695" s="20" t="s">
        <v>820</v>
      </c>
      <c r="C695" s="20">
        <v>17</v>
      </c>
    </row>
    <row r="696" spans="1:3" hidden="1" x14ac:dyDescent="0.25">
      <c r="A696" s="20">
        <v>589</v>
      </c>
      <c r="B696" s="20" t="s">
        <v>821</v>
      </c>
      <c r="C696" s="20">
        <v>17</v>
      </c>
    </row>
    <row r="697" spans="1:3" hidden="1" x14ac:dyDescent="0.25">
      <c r="A697" s="20">
        <v>590</v>
      </c>
      <c r="B697" s="20" t="s">
        <v>822</v>
      </c>
      <c r="C697" s="20">
        <v>17</v>
      </c>
    </row>
    <row r="698" spans="1:3" hidden="1" x14ac:dyDescent="0.25">
      <c r="A698" s="20">
        <v>591</v>
      </c>
      <c r="B698" s="20" t="s">
        <v>823</v>
      </c>
      <c r="C698" s="20">
        <v>17</v>
      </c>
    </row>
    <row r="699" spans="1:3" hidden="1" x14ac:dyDescent="0.25">
      <c r="A699" s="20">
        <v>592</v>
      </c>
      <c r="B699" s="20" t="s">
        <v>824</v>
      </c>
      <c r="C699" s="20">
        <v>17</v>
      </c>
    </row>
    <row r="700" spans="1:3" hidden="1" x14ac:dyDescent="0.25">
      <c r="A700" s="20">
        <v>593</v>
      </c>
      <c r="B700" s="20" t="s">
        <v>825</v>
      </c>
      <c r="C700" s="20">
        <v>17</v>
      </c>
    </row>
    <row r="701" spans="1:3" hidden="1" x14ac:dyDescent="0.25">
      <c r="A701" s="20">
        <v>595</v>
      </c>
      <c r="B701" s="20" t="s">
        <v>826</v>
      </c>
      <c r="C701" s="20">
        <v>17</v>
      </c>
    </row>
    <row r="702" spans="1:3" hidden="1" x14ac:dyDescent="0.25">
      <c r="A702" s="20">
        <v>596</v>
      </c>
      <c r="B702" s="20" t="s">
        <v>827</v>
      </c>
      <c r="C702" s="20">
        <v>18</v>
      </c>
    </row>
    <row r="703" spans="1:3" hidden="1" x14ac:dyDescent="0.25">
      <c r="A703" s="20">
        <v>597</v>
      </c>
      <c r="B703" s="20" t="s">
        <v>828</v>
      </c>
      <c r="C703" s="20">
        <v>18</v>
      </c>
    </row>
    <row r="704" spans="1:3" hidden="1" x14ac:dyDescent="0.25">
      <c r="A704" s="20">
        <v>598</v>
      </c>
      <c r="B704" s="20" t="s">
        <v>829</v>
      </c>
      <c r="C704" s="20">
        <v>19</v>
      </c>
    </row>
    <row r="705" spans="1:3" hidden="1" x14ac:dyDescent="0.25">
      <c r="A705" s="20">
        <v>599</v>
      </c>
      <c r="B705" s="20" t="s">
        <v>830</v>
      </c>
      <c r="C705" s="20">
        <v>19</v>
      </c>
    </row>
    <row r="706" spans="1:3" hidden="1" x14ac:dyDescent="0.25">
      <c r="A706" s="20">
        <v>600</v>
      </c>
      <c r="B706" s="20" t="s">
        <v>831</v>
      </c>
      <c r="C706" s="20">
        <v>19</v>
      </c>
    </row>
    <row r="707" spans="1:3" hidden="1" x14ac:dyDescent="0.25">
      <c r="A707" s="20">
        <v>601</v>
      </c>
      <c r="B707" s="20" t="s">
        <v>832</v>
      </c>
      <c r="C707" s="20">
        <v>19</v>
      </c>
    </row>
    <row r="708" spans="1:3" hidden="1" x14ac:dyDescent="0.25">
      <c r="A708" s="20">
        <v>602</v>
      </c>
      <c r="B708" s="20" t="s">
        <v>833</v>
      </c>
      <c r="C708" s="20">
        <v>19</v>
      </c>
    </row>
    <row r="709" spans="1:3" hidden="1" x14ac:dyDescent="0.25">
      <c r="A709" s="20">
        <v>603</v>
      </c>
      <c r="B709" s="20" t="s">
        <v>834</v>
      </c>
      <c r="C709" s="20">
        <v>20</v>
      </c>
    </row>
    <row r="710" spans="1:3" hidden="1" x14ac:dyDescent="0.25">
      <c r="A710" s="20">
        <v>604</v>
      </c>
      <c r="B710" s="20" t="s">
        <v>835</v>
      </c>
      <c r="C710" s="20">
        <v>20</v>
      </c>
    </row>
    <row r="711" spans="1:3" hidden="1" x14ac:dyDescent="0.25">
      <c r="A711" s="20">
        <v>605</v>
      </c>
      <c r="B711" s="20" t="s">
        <v>836</v>
      </c>
      <c r="C711" s="20">
        <v>20</v>
      </c>
    </row>
    <row r="712" spans="1:3" hidden="1" x14ac:dyDescent="0.25">
      <c r="A712" s="20">
        <v>606</v>
      </c>
      <c r="B712" s="20" t="s">
        <v>837</v>
      </c>
      <c r="C712" s="20">
        <v>20</v>
      </c>
    </row>
    <row r="713" spans="1:3" hidden="1" x14ac:dyDescent="0.25">
      <c r="A713" s="20">
        <v>607</v>
      </c>
      <c r="B713" s="20" t="s">
        <v>838</v>
      </c>
      <c r="C713" s="20">
        <v>20</v>
      </c>
    </row>
    <row r="714" spans="1:3" hidden="1" x14ac:dyDescent="0.25">
      <c r="A714" s="20">
        <v>608</v>
      </c>
      <c r="B714" s="20" t="s">
        <v>839</v>
      </c>
      <c r="C714" s="20">
        <v>20</v>
      </c>
    </row>
    <row r="715" spans="1:3" hidden="1" x14ac:dyDescent="0.25">
      <c r="A715" s="20">
        <v>609</v>
      </c>
      <c r="B715" s="20" t="s">
        <v>840</v>
      </c>
      <c r="C715" s="20">
        <v>14</v>
      </c>
    </row>
    <row r="716" spans="1:3" hidden="1" x14ac:dyDescent="0.25">
      <c r="A716" s="20">
        <v>610</v>
      </c>
      <c r="B716" s="20" t="s">
        <v>841</v>
      </c>
      <c r="C716" s="20">
        <v>16</v>
      </c>
    </row>
    <row r="717" spans="1:3" hidden="1" x14ac:dyDescent="0.25">
      <c r="A717" s="20">
        <v>612</v>
      </c>
      <c r="B717" s="20" t="s">
        <v>842</v>
      </c>
      <c r="C717" s="20">
        <v>16</v>
      </c>
    </row>
    <row r="718" spans="1:3" hidden="1" x14ac:dyDescent="0.25">
      <c r="A718" s="20">
        <v>614</v>
      </c>
      <c r="B718" s="20" t="s">
        <v>843</v>
      </c>
      <c r="C718" s="20">
        <v>14</v>
      </c>
    </row>
    <row r="719" spans="1:3" hidden="1" x14ac:dyDescent="0.25">
      <c r="A719" s="20">
        <v>616</v>
      </c>
      <c r="B719" s="20" t="s">
        <v>844</v>
      </c>
      <c r="C719" s="20">
        <v>6</v>
      </c>
    </row>
    <row r="720" spans="1:3" hidden="1" x14ac:dyDescent="0.25">
      <c r="A720" s="20">
        <v>617</v>
      </c>
      <c r="B720" s="20" t="s">
        <v>845</v>
      </c>
      <c r="C720" s="20">
        <v>15</v>
      </c>
    </row>
    <row r="721" spans="1:3" hidden="1" x14ac:dyDescent="0.25">
      <c r="A721" s="20">
        <v>618</v>
      </c>
      <c r="B721" s="20" t="s">
        <v>846</v>
      </c>
      <c r="C721" s="20">
        <v>6</v>
      </c>
    </row>
    <row r="722" spans="1:3" hidden="1" x14ac:dyDescent="0.25">
      <c r="A722" s="20">
        <v>619</v>
      </c>
      <c r="B722" s="20" t="s">
        <v>847</v>
      </c>
      <c r="C722" s="20">
        <v>18</v>
      </c>
    </row>
    <row r="723" spans="1:3" hidden="1" x14ac:dyDescent="0.25">
      <c r="A723" s="20">
        <v>620</v>
      </c>
      <c r="B723" s="20" t="s">
        <v>848</v>
      </c>
      <c r="C723" s="20">
        <v>20</v>
      </c>
    </row>
    <row r="724" spans="1:3" hidden="1" x14ac:dyDescent="0.25">
      <c r="A724" s="20">
        <v>621</v>
      </c>
      <c r="B724" s="20" t="s">
        <v>849</v>
      </c>
      <c r="C724" s="20">
        <v>15</v>
      </c>
    </row>
    <row r="725" spans="1:3" hidden="1" x14ac:dyDescent="0.25">
      <c r="A725" s="20">
        <v>622</v>
      </c>
      <c r="B725" s="20" t="s">
        <v>850</v>
      </c>
      <c r="C725" s="20">
        <v>13</v>
      </c>
    </row>
    <row r="726" spans="1:3" hidden="1" x14ac:dyDescent="0.25">
      <c r="A726" s="20">
        <v>623</v>
      </c>
      <c r="B726" s="20" t="s">
        <v>851</v>
      </c>
      <c r="C726" s="20">
        <v>4</v>
      </c>
    </row>
    <row r="727" spans="1:3" hidden="1" x14ac:dyDescent="0.25">
      <c r="A727" s="20">
        <v>624</v>
      </c>
      <c r="B727" s="20" t="s">
        <v>852</v>
      </c>
      <c r="C727" s="20">
        <v>8</v>
      </c>
    </row>
    <row r="728" spans="1:3" hidden="1" x14ac:dyDescent="0.25">
      <c r="A728" s="20">
        <v>625</v>
      </c>
      <c r="B728" s="20" t="s">
        <v>853</v>
      </c>
      <c r="C728" s="20">
        <v>13</v>
      </c>
    </row>
    <row r="729" spans="1:3" hidden="1" x14ac:dyDescent="0.25">
      <c r="A729" s="20">
        <v>626</v>
      </c>
      <c r="B729" s="20" t="s">
        <v>854</v>
      </c>
      <c r="C729" s="20">
        <v>15</v>
      </c>
    </row>
    <row r="730" spans="1:3" hidden="1" x14ac:dyDescent="0.25">
      <c r="A730" s="20">
        <v>628</v>
      </c>
      <c r="B730" s="20" t="s">
        <v>855</v>
      </c>
      <c r="C730" s="20">
        <v>16</v>
      </c>
    </row>
    <row r="731" spans="1:3" hidden="1" x14ac:dyDescent="0.25">
      <c r="A731" s="20">
        <v>629</v>
      </c>
      <c r="B731" s="20" t="s">
        <v>856</v>
      </c>
      <c r="C731" s="20">
        <v>18</v>
      </c>
    </row>
    <row r="732" spans="1:3" hidden="1" x14ac:dyDescent="0.25">
      <c r="A732" s="20">
        <v>631</v>
      </c>
      <c r="B732" s="20" t="s">
        <v>857</v>
      </c>
      <c r="C732" s="20">
        <v>18</v>
      </c>
    </row>
    <row r="736" spans="1:3" hidden="1" x14ac:dyDescent="0.25">
      <c r="A736" s="20" t="s">
        <v>858</v>
      </c>
      <c r="B736" s="20" t="s">
        <v>859</v>
      </c>
    </row>
    <row r="737" spans="1:2" hidden="1" x14ac:dyDescent="0.25">
      <c r="A737" s="20" t="s">
        <v>860</v>
      </c>
      <c r="B737" s="20" t="s">
        <v>861</v>
      </c>
    </row>
    <row r="738" spans="1:2" hidden="1" x14ac:dyDescent="0.25">
      <c r="A738" s="20" t="s">
        <v>862</v>
      </c>
      <c r="B738" s="20" t="s">
        <v>863</v>
      </c>
    </row>
    <row r="739" spans="1:2" hidden="1" x14ac:dyDescent="0.25">
      <c r="A739" s="20" t="s">
        <v>864</v>
      </c>
      <c r="B739" s="20" t="s">
        <v>865</v>
      </c>
    </row>
    <row r="740" spans="1:2" hidden="1" x14ac:dyDescent="0.25">
      <c r="A740" s="20" t="s">
        <v>866</v>
      </c>
      <c r="B740" s="20" t="s">
        <v>867</v>
      </c>
    </row>
    <row r="741" spans="1:2" hidden="1" x14ac:dyDescent="0.25">
      <c r="A741" s="20" t="s">
        <v>868</v>
      </c>
      <c r="B741" s="20" t="s">
        <v>869</v>
      </c>
    </row>
    <row r="742" spans="1:2" hidden="1" x14ac:dyDescent="0.25">
      <c r="A742" s="20" t="s">
        <v>870</v>
      </c>
      <c r="B742" s="20" t="s">
        <v>871</v>
      </c>
    </row>
    <row r="743" spans="1:2" hidden="1" x14ac:dyDescent="0.25">
      <c r="A743" s="20" t="s">
        <v>872</v>
      </c>
      <c r="B743" s="20" t="s">
        <v>873</v>
      </c>
    </row>
    <row r="744" spans="1:2" hidden="1" x14ac:dyDescent="0.25">
      <c r="A744" s="20" t="s">
        <v>874</v>
      </c>
      <c r="B744" s="20" t="s">
        <v>875</v>
      </c>
    </row>
    <row r="745" spans="1:2" hidden="1" x14ac:dyDescent="0.25">
      <c r="A745" s="20" t="s">
        <v>876</v>
      </c>
      <c r="B745" s="20" t="s">
        <v>877</v>
      </c>
    </row>
    <row r="746" spans="1:2" hidden="1" x14ac:dyDescent="0.25">
      <c r="A746" s="20" t="s">
        <v>878</v>
      </c>
      <c r="B746" s="20" t="s">
        <v>879</v>
      </c>
    </row>
    <row r="747" spans="1:2" hidden="1" x14ac:dyDescent="0.25">
      <c r="A747" s="20" t="s">
        <v>880</v>
      </c>
      <c r="B747" s="20" t="s">
        <v>881</v>
      </c>
    </row>
    <row r="748" spans="1:2" hidden="1" x14ac:dyDescent="0.25">
      <c r="A748" s="20" t="s">
        <v>882</v>
      </c>
      <c r="B748" s="20" t="s">
        <v>883</v>
      </c>
    </row>
    <row r="749" spans="1:2" hidden="1" x14ac:dyDescent="0.25">
      <c r="A749" s="20" t="s">
        <v>884</v>
      </c>
      <c r="B749" s="20" t="s">
        <v>885</v>
      </c>
    </row>
    <row r="750" spans="1:2" hidden="1" x14ac:dyDescent="0.25">
      <c r="A750" s="20" t="s">
        <v>886</v>
      </c>
      <c r="B750" s="20" t="s">
        <v>887</v>
      </c>
    </row>
    <row r="751" spans="1:2" hidden="1" x14ac:dyDescent="0.25">
      <c r="A751" s="20" t="s">
        <v>888</v>
      </c>
      <c r="B751" s="20" t="s">
        <v>889</v>
      </c>
    </row>
    <row r="752" spans="1:2" hidden="1" x14ac:dyDescent="0.25">
      <c r="A752" s="20" t="s">
        <v>890</v>
      </c>
      <c r="B752" s="20" t="s">
        <v>891</v>
      </c>
    </row>
    <row r="753" spans="1:2" hidden="1" x14ac:dyDescent="0.25">
      <c r="A753" s="20" t="s">
        <v>892</v>
      </c>
      <c r="B753" s="20" t="s">
        <v>893</v>
      </c>
    </row>
    <row r="754" spans="1:2" hidden="1" x14ac:dyDescent="0.25">
      <c r="A754" s="20" t="s">
        <v>894</v>
      </c>
      <c r="B754" s="20" t="s">
        <v>895</v>
      </c>
    </row>
    <row r="755" spans="1:2" hidden="1" x14ac:dyDescent="0.25">
      <c r="A755" s="20" t="s">
        <v>896</v>
      </c>
      <c r="B755" s="20" t="s">
        <v>897</v>
      </c>
    </row>
    <row r="756" spans="1:2" hidden="1" x14ac:dyDescent="0.25">
      <c r="A756" s="20" t="s">
        <v>898</v>
      </c>
      <c r="B756" s="20" t="s">
        <v>899</v>
      </c>
    </row>
    <row r="757" spans="1:2" hidden="1" x14ac:dyDescent="0.25">
      <c r="A757" s="20" t="s">
        <v>900</v>
      </c>
      <c r="B757" s="20" t="s">
        <v>901</v>
      </c>
    </row>
    <row r="758" spans="1:2" hidden="1" x14ac:dyDescent="0.25">
      <c r="A758" s="20" t="s">
        <v>902</v>
      </c>
      <c r="B758" s="20" t="s">
        <v>903</v>
      </c>
    </row>
    <row r="759" spans="1:2" hidden="1" x14ac:dyDescent="0.25">
      <c r="A759" s="20" t="s">
        <v>904</v>
      </c>
      <c r="B759" s="20" t="s">
        <v>905</v>
      </c>
    </row>
    <row r="760" spans="1:2" hidden="1" x14ac:dyDescent="0.25">
      <c r="A760" s="20" t="s">
        <v>906</v>
      </c>
      <c r="B760" s="20" t="s">
        <v>907</v>
      </c>
    </row>
    <row r="761" spans="1:2" hidden="1" x14ac:dyDescent="0.25">
      <c r="A761" s="20" t="s">
        <v>908</v>
      </c>
      <c r="B761" s="20" t="s">
        <v>909</v>
      </c>
    </row>
    <row r="762" spans="1:2" hidden="1" x14ac:dyDescent="0.25">
      <c r="A762" s="20" t="s">
        <v>910</v>
      </c>
      <c r="B762" s="20" t="s">
        <v>911</v>
      </c>
    </row>
    <row r="763" spans="1:2" hidden="1" x14ac:dyDescent="0.25">
      <c r="A763" s="20" t="s">
        <v>912</v>
      </c>
      <c r="B763" s="20" t="s">
        <v>913</v>
      </c>
    </row>
    <row r="764" spans="1:2" hidden="1" x14ac:dyDescent="0.25">
      <c r="A764" s="20" t="s">
        <v>914</v>
      </c>
      <c r="B764" s="20" t="s">
        <v>915</v>
      </c>
    </row>
    <row r="765" spans="1:2" hidden="1" x14ac:dyDescent="0.25">
      <c r="A765" s="20" t="s">
        <v>916</v>
      </c>
      <c r="B765" s="20" t="s">
        <v>917</v>
      </c>
    </row>
    <row r="766" spans="1:2" hidden="1" x14ac:dyDescent="0.25">
      <c r="A766" s="20" t="s">
        <v>918</v>
      </c>
      <c r="B766" s="20" t="s">
        <v>919</v>
      </c>
    </row>
    <row r="767" spans="1:2" hidden="1" x14ac:dyDescent="0.25">
      <c r="A767" s="20" t="s">
        <v>920</v>
      </c>
      <c r="B767" s="20" t="s">
        <v>921</v>
      </c>
    </row>
    <row r="768" spans="1:2" hidden="1" x14ac:dyDescent="0.25">
      <c r="A768" s="20" t="s">
        <v>922</v>
      </c>
      <c r="B768" s="20" t="s">
        <v>923</v>
      </c>
    </row>
    <row r="769" spans="1:2" hidden="1" x14ac:dyDescent="0.25">
      <c r="A769" s="20" t="s">
        <v>924</v>
      </c>
      <c r="B769" s="20" t="s">
        <v>925</v>
      </c>
    </row>
    <row r="770" spans="1:2" hidden="1" x14ac:dyDescent="0.25">
      <c r="A770" s="20" t="s">
        <v>926</v>
      </c>
      <c r="B770" s="20" t="s">
        <v>927</v>
      </c>
    </row>
    <row r="771" spans="1:2" hidden="1" x14ac:dyDescent="0.25">
      <c r="A771" s="20" t="s">
        <v>928</v>
      </c>
      <c r="B771" s="20" t="s">
        <v>929</v>
      </c>
    </row>
    <row r="772" spans="1:2" hidden="1" x14ac:dyDescent="0.25">
      <c r="A772" s="20" t="s">
        <v>930</v>
      </c>
      <c r="B772" s="20" t="s">
        <v>931</v>
      </c>
    </row>
    <row r="773" spans="1:2" hidden="1" x14ac:dyDescent="0.25">
      <c r="A773" s="20" t="s">
        <v>932</v>
      </c>
      <c r="B773" s="20" t="s">
        <v>933</v>
      </c>
    </row>
    <row r="774" spans="1:2" hidden="1" x14ac:dyDescent="0.25">
      <c r="A774" s="20" t="s">
        <v>934</v>
      </c>
      <c r="B774" s="20" t="s">
        <v>935</v>
      </c>
    </row>
    <row r="775" spans="1:2" hidden="1" x14ac:dyDescent="0.25">
      <c r="A775" s="20" t="s">
        <v>936</v>
      </c>
      <c r="B775" s="20" t="s">
        <v>937</v>
      </c>
    </row>
    <row r="776" spans="1:2" hidden="1" x14ac:dyDescent="0.25">
      <c r="A776" s="20" t="s">
        <v>938</v>
      </c>
      <c r="B776" s="20" t="s">
        <v>939</v>
      </c>
    </row>
    <row r="777" spans="1:2" hidden="1" x14ac:dyDescent="0.25">
      <c r="A777" s="20" t="s">
        <v>940</v>
      </c>
      <c r="B777" s="20" t="s">
        <v>941</v>
      </c>
    </row>
    <row r="778" spans="1:2" hidden="1" x14ac:dyDescent="0.25">
      <c r="A778" s="20" t="s">
        <v>942</v>
      </c>
      <c r="B778" s="20" t="s">
        <v>943</v>
      </c>
    </row>
    <row r="779" spans="1:2" hidden="1" x14ac:dyDescent="0.25">
      <c r="A779" s="20" t="s">
        <v>944</v>
      </c>
      <c r="B779" s="20" t="s">
        <v>945</v>
      </c>
    </row>
    <row r="780" spans="1:2" hidden="1" x14ac:dyDescent="0.25">
      <c r="A780" s="20" t="s">
        <v>946</v>
      </c>
      <c r="B780" s="20" t="s">
        <v>947</v>
      </c>
    </row>
    <row r="781" spans="1:2" hidden="1" x14ac:dyDescent="0.25">
      <c r="A781" s="20" t="s">
        <v>948</v>
      </c>
      <c r="B781" s="20" t="s">
        <v>949</v>
      </c>
    </row>
    <row r="782" spans="1:2" hidden="1" x14ac:dyDescent="0.25">
      <c r="A782" s="20" t="s">
        <v>950</v>
      </c>
      <c r="B782" s="20" t="s">
        <v>951</v>
      </c>
    </row>
    <row r="783" spans="1:2" hidden="1" x14ac:dyDescent="0.25">
      <c r="A783" s="20" t="s">
        <v>952</v>
      </c>
      <c r="B783" s="20" t="s">
        <v>953</v>
      </c>
    </row>
    <row r="784" spans="1:2" hidden="1" x14ac:dyDescent="0.25">
      <c r="A784" s="20" t="s">
        <v>954</v>
      </c>
      <c r="B784" s="20" t="s">
        <v>955</v>
      </c>
    </row>
    <row r="785" spans="1:2" hidden="1" x14ac:dyDescent="0.25">
      <c r="A785" s="20" t="s">
        <v>956</v>
      </c>
      <c r="B785" s="20" t="s">
        <v>957</v>
      </c>
    </row>
    <row r="786" spans="1:2" hidden="1" x14ac:dyDescent="0.25">
      <c r="A786" s="20" t="s">
        <v>958</v>
      </c>
      <c r="B786" s="20" t="s">
        <v>959</v>
      </c>
    </row>
    <row r="787" spans="1:2" hidden="1" x14ac:dyDescent="0.25">
      <c r="A787" s="20" t="s">
        <v>960</v>
      </c>
      <c r="B787" s="20" t="s">
        <v>961</v>
      </c>
    </row>
    <row r="788" spans="1:2" hidden="1" x14ac:dyDescent="0.25">
      <c r="A788" s="20" t="s">
        <v>962</v>
      </c>
      <c r="B788" s="20" t="s">
        <v>963</v>
      </c>
    </row>
    <row r="789" spans="1:2" hidden="1" x14ac:dyDescent="0.25">
      <c r="A789" s="20" t="s">
        <v>964</v>
      </c>
      <c r="B789" s="20" t="s">
        <v>965</v>
      </c>
    </row>
    <row r="790" spans="1:2" hidden="1" x14ac:dyDescent="0.25">
      <c r="A790" s="20" t="s">
        <v>966</v>
      </c>
      <c r="B790" s="20" t="s">
        <v>967</v>
      </c>
    </row>
    <row r="791" spans="1:2" hidden="1" x14ac:dyDescent="0.25">
      <c r="A791" s="20" t="s">
        <v>968</v>
      </c>
      <c r="B791" s="20" t="s">
        <v>969</v>
      </c>
    </row>
    <row r="792" spans="1:2" hidden="1" x14ac:dyDescent="0.25">
      <c r="A792" s="20" t="s">
        <v>970</v>
      </c>
      <c r="B792" s="20" t="s">
        <v>971</v>
      </c>
    </row>
    <row r="793" spans="1:2" hidden="1" x14ac:dyDescent="0.25">
      <c r="A793" s="20" t="s">
        <v>972</v>
      </c>
      <c r="B793" s="20" t="s">
        <v>973</v>
      </c>
    </row>
    <row r="794" spans="1:2" hidden="1" x14ac:dyDescent="0.25">
      <c r="A794" s="20" t="s">
        <v>974</v>
      </c>
      <c r="B794" s="20" t="s">
        <v>975</v>
      </c>
    </row>
    <row r="795" spans="1:2" hidden="1" x14ac:dyDescent="0.25">
      <c r="A795" s="20" t="s">
        <v>976</v>
      </c>
      <c r="B795" s="20" t="s">
        <v>977</v>
      </c>
    </row>
    <row r="796" spans="1:2" hidden="1" x14ac:dyDescent="0.25">
      <c r="A796" s="20" t="s">
        <v>978</v>
      </c>
      <c r="B796" s="20" t="s">
        <v>979</v>
      </c>
    </row>
    <row r="797" spans="1:2" hidden="1" x14ac:dyDescent="0.25">
      <c r="A797" s="20" t="s">
        <v>980</v>
      </c>
      <c r="B797" s="20" t="s">
        <v>981</v>
      </c>
    </row>
    <row r="798" spans="1:2" hidden="1" x14ac:dyDescent="0.25">
      <c r="A798" s="20" t="s">
        <v>982</v>
      </c>
      <c r="B798" s="20" t="s">
        <v>983</v>
      </c>
    </row>
    <row r="799" spans="1:2" hidden="1" x14ac:dyDescent="0.25">
      <c r="A799" s="20" t="s">
        <v>984</v>
      </c>
      <c r="B799" s="20" t="s">
        <v>985</v>
      </c>
    </row>
    <row r="800" spans="1:2" hidden="1" x14ac:dyDescent="0.25">
      <c r="A800" s="20" t="s">
        <v>986</v>
      </c>
      <c r="B800" s="20" t="s">
        <v>987</v>
      </c>
    </row>
    <row r="801" spans="1:2" hidden="1" x14ac:dyDescent="0.25">
      <c r="A801" s="20" t="s">
        <v>988</v>
      </c>
      <c r="B801" s="20" t="s">
        <v>989</v>
      </c>
    </row>
    <row r="802" spans="1:2" hidden="1" x14ac:dyDescent="0.25">
      <c r="A802" s="20" t="s">
        <v>990</v>
      </c>
      <c r="B802" s="20" t="s">
        <v>991</v>
      </c>
    </row>
    <row r="803" spans="1:2" hidden="1" x14ac:dyDescent="0.25">
      <c r="A803" s="20" t="s">
        <v>992</v>
      </c>
      <c r="B803" s="20" t="s">
        <v>993</v>
      </c>
    </row>
    <row r="804" spans="1:2" hidden="1" x14ac:dyDescent="0.25">
      <c r="A804" s="20" t="s">
        <v>994</v>
      </c>
      <c r="B804" s="20" t="s">
        <v>995</v>
      </c>
    </row>
    <row r="805" spans="1:2" hidden="1" x14ac:dyDescent="0.25">
      <c r="A805" s="20" t="s">
        <v>996</v>
      </c>
      <c r="B805" s="20" t="s">
        <v>997</v>
      </c>
    </row>
    <row r="806" spans="1:2" hidden="1" x14ac:dyDescent="0.25">
      <c r="A806" s="20" t="s">
        <v>998</v>
      </c>
      <c r="B806" s="20" t="s">
        <v>999</v>
      </c>
    </row>
    <row r="807" spans="1:2" hidden="1" x14ac:dyDescent="0.25">
      <c r="A807" s="20" t="s">
        <v>1000</v>
      </c>
      <c r="B807" s="20" t="s">
        <v>1001</v>
      </c>
    </row>
    <row r="808" spans="1:2" hidden="1" x14ac:dyDescent="0.25">
      <c r="A808" s="20" t="s">
        <v>1002</v>
      </c>
      <c r="B808" s="20" t="s">
        <v>1003</v>
      </c>
    </row>
    <row r="809" spans="1:2" hidden="1" x14ac:dyDescent="0.25">
      <c r="A809" s="20" t="s">
        <v>1004</v>
      </c>
      <c r="B809" s="20" t="s">
        <v>1005</v>
      </c>
    </row>
    <row r="810" spans="1:2" hidden="1" x14ac:dyDescent="0.25">
      <c r="A810" s="20" t="s">
        <v>1006</v>
      </c>
      <c r="B810" s="20" t="s">
        <v>1007</v>
      </c>
    </row>
    <row r="811" spans="1:2" hidden="1" x14ac:dyDescent="0.25">
      <c r="A811" s="20" t="s">
        <v>1008</v>
      </c>
      <c r="B811" s="20" t="s">
        <v>1009</v>
      </c>
    </row>
    <row r="812" spans="1:2" hidden="1" x14ac:dyDescent="0.25">
      <c r="A812" s="20" t="s">
        <v>1010</v>
      </c>
      <c r="B812" s="20" t="s">
        <v>1011</v>
      </c>
    </row>
    <row r="813" spans="1:2" hidden="1" x14ac:dyDescent="0.25">
      <c r="A813" s="20" t="s">
        <v>1012</v>
      </c>
      <c r="B813" s="20" t="s">
        <v>1013</v>
      </c>
    </row>
    <row r="814" spans="1:2" hidden="1" x14ac:dyDescent="0.25">
      <c r="A814" s="20" t="s">
        <v>1014</v>
      </c>
      <c r="B814" s="20" t="s">
        <v>1015</v>
      </c>
    </row>
    <row r="815" spans="1:2" hidden="1" x14ac:dyDescent="0.25">
      <c r="A815" s="20" t="s">
        <v>1016</v>
      </c>
      <c r="B815" s="20" t="s">
        <v>1017</v>
      </c>
    </row>
    <row r="816" spans="1:2" hidden="1" x14ac:dyDescent="0.25">
      <c r="A816" s="20" t="s">
        <v>1018</v>
      </c>
      <c r="B816" s="20" t="s">
        <v>1019</v>
      </c>
    </row>
    <row r="817" spans="1:2" hidden="1" x14ac:dyDescent="0.25">
      <c r="A817" s="20" t="s">
        <v>1020</v>
      </c>
      <c r="B817" s="20" t="s">
        <v>1021</v>
      </c>
    </row>
    <row r="818" spans="1:2" hidden="1" x14ac:dyDescent="0.25">
      <c r="A818" s="20" t="s">
        <v>1022</v>
      </c>
      <c r="B818" s="20" t="s">
        <v>1023</v>
      </c>
    </row>
    <row r="819" spans="1:2" hidden="1" x14ac:dyDescent="0.25">
      <c r="A819" s="20" t="s">
        <v>1024</v>
      </c>
      <c r="B819" s="20" t="s">
        <v>1025</v>
      </c>
    </row>
    <row r="820" spans="1:2" hidden="1" x14ac:dyDescent="0.25">
      <c r="A820" s="20" t="s">
        <v>1026</v>
      </c>
      <c r="B820" s="20" t="s">
        <v>1027</v>
      </c>
    </row>
    <row r="821" spans="1:2" hidden="1" x14ac:dyDescent="0.25">
      <c r="A821" s="20" t="s">
        <v>1028</v>
      </c>
      <c r="B821" s="20" t="s">
        <v>1029</v>
      </c>
    </row>
    <row r="822" spans="1:2" hidden="1" x14ac:dyDescent="0.25">
      <c r="A822" s="20" t="s">
        <v>1030</v>
      </c>
      <c r="B822" s="20" t="s">
        <v>1031</v>
      </c>
    </row>
    <row r="823" spans="1:2" hidden="1" x14ac:dyDescent="0.25">
      <c r="A823" s="20" t="s">
        <v>1032</v>
      </c>
      <c r="B823" s="20" t="s">
        <v>1033</v>
      </c>
    </row>
    <row r="824" spans="1:2" hidden="1" x14ac:dyDescent="0.25">
      <c r="A824" s="20" t="s">
        <v>1034</v>
      </c>
      <c r="B824" s="20" t="s">
        <v>1035</v>
      </c>
    </row>
    <row r="825" spans="1:2" hidden="1" x14ac:dyDescent="0.25">
      <c r="A825" s="20" t="s">
        <v>1036</v>
      </c>
      <c r="B825" s="20" t="s">
        <v>1037</v>
      </c>
    </row>
    <row r="826" spans="1:2" hidden="1" x14ac:dyDescent="0.25">
      <c r="A826" s="20" t="s">
        <v>1038</v>
      </c>
      <c r="B826" s="20" t="s">
        <v>1039</v>
      </c>
    </row>
    <row r="827" spans="1:2" hidden="1" x14ac:dyDescent="0.25">
      <c r="A827" s="20" t="s">
        <v>1040</v>
      </c>
      <c r="B827" s="20" t="s">
        <v>1041</v>
      </c>
    </row>
    <row r="828" spans="1:2" hidden="1" x14ac:dyDescent="0.25">
      <c r="A828" s="20" t="s">
        <v>1042</v>
      </c>
      <c r="B828" s="20" t="s">
        <v>1043</v>
      </c>
    </row>
    <row r="829" spans="1:2" hidden="1" x14ac:dyDescent="0.25">
      <c r="A829" s="20" t="s">
        <v>1044</v>
      </c>
      <c r="B829" s="20" t="s">
        <v>1045</v>
      </c>
    </row>
    <row r="830" spans="1:2" hidden="1" x14ac:dyDescent="0.25">
      <c r="A830" s="20" t="s">
        <v>1046</v>
      </c>
      <c r="B830" s="20" t="s">
        <v>1047</v>
      </c>
    </row>
    <row r="831" spans="1:2" hidden="1" x14ac:dyDescent="0.25">
      <c r="A831" s="20" t="s">
        <v>1048</v>
      </c>
      <c r="B831" s="20" t="s">
        <v>1049</v>
      </c>
    </row>
    <row r="832" spans="1:2" hidden="1" x14ac:dyDescent="0.25">
      <c r="A832" s="20" t="s">
        <v>1050</v>
      </c>
      <c r="B832" s="20" t="s">
        <v>1051</v>
      </c>
    </row>
    <row r="833" spans="1:2" hidden="1" x14ac:dyDescent="0.25">
      <c r="A833" s="20" t="s">
        <v>1052</v>
      </c>
      <c r="B833" s="20" t="s">
        <v>1053</v>
      </c>
    </row>
    <row r="834" spans="1:2" hidden="1" x14ac:dyDescent="0.25">
      <c r="A834" s="20" t="s">
        <v>1054</v>
      </c>
      <c r="B834" s="20" t="s">
        <v>1055</v>
      </c>
    </row>
    <row r="835" spans="1:2" hidden="1" x14ac:dyDescent="0.25">
      <c r="A835" s="20" t="s">
        <v>1056</v>
      </c>
      <c r="B835" s="20" t="s">
        <v>1057</v>
      </c>
    </row>
    <row r="836" spans="1:2" hidden="1" x14ac:dyDescent="0.25">
      <c r="A836" s="20" t="s">
        <v>1058</v>
      </c>
      <c r="B836" s="20" t="s">
        <v>1059</v>
      </c>
    </row>
    <row r="837" spans="1:2" hidden="1" x14ac:dyDescent="0.25">
      <c r="A837" s="20" t="s">
        <v>1060</v>
      </c>
      <c r="B837" s="20" t="s">
        <v>1061</v>
      </c>
    </row>
    <row r="838" spans="1:2" hidden="1" x14ac:dyDescent="0.25">
      <c r="A838" s="20" t="s">
        <v>1062</v>
      </c>
      <c r="B838" s="20" t="s">
        <v>1063</v>
      </c>
    </row>
    <row r="839" spans="1:2" hidden="1" x14ac:dyDescent="0.25">
      <c r="A839" s="20" t="s">
        <v>1064</v>
      </c>
      <c r="B839" s="20" t="s">
        <v>1065</v>
      </c>
    </row>
    <row r="840" spans="1:2" hidden="1" x14ac:dyDescent="0.25">
      <c r="A840" s="20" t="s">
        <v>1066</v>
      </c>
      <c r="B840" s="20" t="s">
        <v>1067</v>
      </c>
    </row>
    <row r="841" spans="1:2" hidden="1" x14ac:dyDescent="0.25">
      <c r="A841" s="20" t="s">
        <v>1068</v>
      </c>
      <c r="B841" s="20" t="s">
        <v>1069</v>
      </c>
    </row>
    <row r="842" spans="1:2" hidden="1" x14ac:dyDescent="0.25">
      <c r="A842" s="20" t="s">
        <v>1070</v>
      </c>
      <c r="B842" s="20" t="s">
        <v>1071</v>
      </c>
    </row>
    <row r="843" spans="1:2" hidden="1" x14ac:dyDescent="0.25">
      <c r="A843" s="20" t="s">
        <v>1072</v>
      </c>
      <c r="B843" s="20" t="s">
        <v>1073</v>
      </c>
    </row>
    <row r="844" spans="1:2" hidden="1" x14ac:dyDescent="0.25">
      <c r="A844" s="20" t="s">
        <v>1074</v>
      </c>
      <c r="B844" s="20" t="s">
        <v>1075</v>
      </c>
    </row>
    <row r="845" spans="1:2" hidden="1" x14ac:dyDescent="0.25">
      <c r="A845" s="20" t="s">
        <v>1076</v>
      </c>
      <c r="B845" s="20" t="s">
        <v>1077</v>
      </c>
    </row>
    <row r="846" spans="1:2" hidden="1" x14ac:dyDescent="0.25">
      <c r="A846" s="20" t="s">
        <v>1078</v>
      </c>
      <c r="B846" s="20" t="s">
        <v>1079</v>
      </c>
    </row>
    <row r="847" spans="1:2" hidden="1" x14ac:dyDescent="0.25">
      <c r="A847" s="20" t="s">
        <v>1080</v>
      </c>
      <c r="B847" s="20" t="s">
        <v>1081</v>
      </c>
    </row>
    <row r="848" spans="1:2" hidden="1" x14ac:dyDescent="0.25">
      <c r="A848" s="20" t="s">
        <v>1082</v>
      </c>
      <c r="B848" s="20" t="s">
        <v>1083</v>
      </c>
    </row>
    <row r="849" spans="1:2" hidden="1" x14ac:dyDescent="0.25">
      <c r="A849" s="20" t="s">
        <v>1084</v>
      </c>
      <c r="B849" s="20" t="s">
        <v>1085</v>
      </c>
    </row>
    <row r="850" spans="1:2" hidden="1" x14ac:dyDescent="0.25">
      <c r="A850" s="20" t="s">
        <v>1086</v>
      </c>
      <c r="B850" s="20" t="s">
        <v>1087</v>
      </c>
    </row>
    <row r="851" spans="1:2" hidden="1" x14ac:dyDescent="0.25">
      <c r="A851" s="20" t="s">
        <v>1088</v>
      </c>
      <c r="B851" s="20" t="s">
        <v>1089</v>
      </c>
    </row>
    <row r="852" spans="1:2" hidden="1" x14ac:dyDescent="0.25">
      <c r="A852" s="20" t="s">
        <v>1090</v>
      </c>
      <c r="B852" s="20" t="s">
        <v>1091</v>
      </c>
    </row>
    <row r="853" spans="1:2" hidden="1" x14ac:dyDescent="0.25">
      <c r="A853" s="20" t="s">
        <v>1092</v>
      </c>
      <c r="B853" s="20" t="s">
        <v>1093</v>
      </c>
    </row>
    <row r="854" spans="1:2" hidden="1" x14ac:dyDescent="0.25">
      <c r="A854" s="20" t="s">
        <v>1094</v>
      </c>
      <c r="B854" s="20" t="s">
        <v>1095</v>
      </c>
    </row>
    <row r="855" spans="1:2" hidden="1" x14ac:dyDescent="0.25">
      <c r="A855" s="20" t="s">
        <v>1096</v>
      </c>
      <c r="B855" s="20" t="s">
        <v>1097</v>
      </c>
    </row>
    <row r="856" spans="1:2" hidden="1" x14ac:dyDescent="0.25">
      <c r="A856" s="20" t="s">
        <v>1098</v>
      </c>
      <c r="B856" s="20" t="s">
        <v>1099</v>
      </c>
    </row>
    <row r="857" spans="1:2" hidden="1" x14ac:dyDescent="0.25">
      <c r="A857" s="20" t="s">
        <v>1100</v>
      </c>
      <c r="B857" s="20" t="s">
        <v>1101</v>
      </c>
    </row>
    <row r="858" spans="1:2" hidden="1" x14ac:dyDescent="0.25">
      <c r="A858" s="20" t="s">
        <v>1102</v>
      </c>
      <c r="B858" s="20" t="s">
        <v>1103</v>
      </c>
    </row>
    <row r="859" spans="1:2" hidden="1" x14ac:dyDescent="0.25">
      <c r="A859" s="20" t="s">
        <v>1104</v>
      </c>
      <c r="B859" s="20" t="s">
        <v>1105</v>
      </c>
    </row>
    <row r="860" spans="1:2" hidden="1" x14ac:dyDescent="0.25">
      <c r="A860" s="20" t="s">
        <v>1106</v>
      </c>
      <c r="B860" s="20" t="s">
        <v>1107</v>
      </c>
    </row>
    <row r="861" spans="1:2" hidden="1" x14ac:dyDescent="0.25">
      <c r="A861" s="20" t="s">
        <v>1108</v>
      </c>
      <c r="B861" s="20" t="s">
        <v>1109</v>
      </c>
    </row>
    <row r="862" spans="1:2" hidden="1" x14ac:dyDescent="0.25">
      <c r="A862" s="20" t="s">
        <v>1110</v>
      </c>
      <c r="B862" s="20" t="s">
        <v>1111</v>
      </c>
    </row>
    <row r="863" spans="1:2" hidden="1" x14ac:dyDescent="0.25">
      <c r="A863" s="20" t="s">
        <v>1112</v>
      </c>
      <c r="B863" s="20" t="s">
        <v>1113</v>
      </c>
    </row>
    <row r="864" spans="1:2" hidden="1" x14ac:dyDescent="0.25">
      <c r="A864" s="20" t="s">
        <v>1114</v>
      </c>
      <c r="B864" s="20" t="s">
        <v>1115</v>
      </c>
    </row>
    <row r="865" spans="1:2" hidden="1" x14ac:dyDescent="0.25">
      <c r="A865" s="20" t="s">
        <v>1116</v>
      </c>
      <c r="B865" s="20" t="s">
        <v>1117</v>
      </c>
    </row>
    <row r="866" spans="1:2" hidden="1" x14ac:dyDescent="0.25">
      <c r="A866" s="20" t="s">
        <v>1118</v>
      </c>
      <c r="B866" s="20" t="s">
        <v>1119</v>
      </c>
    </row>
    <row r="867" spans="1:2" hidden="1" x14ac:dyDescent="0.25">
      <c r="A867" s="20" t="s">
        <v>1120</v>
      </c>
      <c r="B867" s="20" t="s">
        <v>1121</v>
      </c>
    </row>
    <row r="868" spans="1:2" hidden="1" x14ac:dyDescent="0.25">
      <c r="A868" s="20" t="s">
        <v>1122</v>
      </c>
      <c r="B868" s="20" t="s">
        <v>1123</v>
      </c>
    </row>
    <row r="869" spans="1:2" hidden="1" x14ac:dyDescent="0.25">
      <c r="A869" s="20" t="s">
        <v>1124</v>
      </c>
      <c r="B869" s="20" t="s">
        <v>1125</v>
      </c>
    </row>
    <row r="870" spans="1:2" hidden="1" x14ac:dyDescent="0.25">
      <c r="A870" s="20" t="s">
        <v>1126</v>
      </c>
      <c r="B870" s="20" t="s">
        <v>1127</v>
      </c>
    </row>
    <row r="871" spans="1:2" hidden="1" x14ac:dyDescent="0.25">
      <c r="A871" s="20" t="s">
        <v>1128</v>
      </c>
      <c r="B871" s="20" t="s">
        <v>1129</v>
      </c>
    </row>
    <row r="872" spans="1:2" hidden="1" x14ac:dyDescent="0.25">
      <c r="A872" s="20" t="s">
        <v>1130</v>
      </c>
      <c r="B872" s="20" t="s">
        <v>1131</v>
      </c>
    </row>
    <row r="873" spans="1:2" hidden="1" x14ac:dyDescent="0.25">
      <c r="A873" s="20" t="s">
        <v>1132</v>
      </c>
      <c r="B873" s="20" t="s">
        <v>1133</v>
      </c>
    </row>
    <row r="874" spans="1:2" hidden="1" x14ac:dyDescent="0.25">
      <c r="A874" s="20" t="s">
        <v>1134</v>
      </c>
      <c r="B874" s="20" t="s">
        <v>1135</v>
      </c>
    </row>
    <row r="875" spans="1:2" hidden="1" x14ac:dyDescent="0.25">
      <c r="A875" s="20" t="s">
        <v>1136</v>
      </c>
      <c r="B875" s="20" t="s">
        <v>1137</v>
      </c>
    </row>
    <row r="876" spans="1:2" hidden="1" x14ac:dyDescent="0.25">
      <c r="A876" s="20" t="s">
        <v>1138</v>
      </c>
      <c r="B876" s="20" t="s">
        <v>1139</v>
      </c>
    </row>
    <row r="877" spans="1:2" hidden="1" x14ac:dyDescent="0.25">
      <c r="A877" s="20" t="s">
        <v>1140</v>
      </c>
      <c r="B877" s="20" t="s">
        <v>1141</v>
      </c>
    </row>
    <row r="878" spans="1:2" hidden="1" x14ac:dyDescent="0.25">
      <c r="A878" s="20" t="s">
        <v>1142</v>
      </c>
      <c r="B878" s="20" t="s">
        <v>1143</v>
      </c>
    </row>
    <row r="879" spans="1:2" hidden="1" x14ac:dyDescent="0.25">
      <c r="A879" s="20" t="s">
        <v>1144</v>
      </c>
      <c r="B879" s="20" t="s">
        <v>1145</v>
      </c>
    </row>
    <row r="880" spans="1:2" hidden="1" x14ac:dyDescent="0.25">
      <c r="A880" s="20" t="s">
        <v>1146</v>
      </c>
      <c r="B880" s="20" t="s">
        <v>1147</v>
      </c>
    </row>
    <row r="881" spans="1:2" hidden="1" x14ac:dyDescent="0.25">
      <c r="A881" s="20" t="s">
        <v>1148</v>
      </c>
      <c r="B881" s="20" t="s">
        <v>1149</v>
      </c>
    </row>
    <row r="882" spans="1:2" hidden="1" x14ac:dyDescent="0.25">
      <c r="A882" s="20" t="s">
        <v>1150</v>
      </c>
      <c r="B882" s="20" t="s">
        <v>1151</v>
      </c>
    </row>
    <row r="883" spans="1:2" hidden="1" x14ac:dyDescent="0.25">
      <c r="A883" s="20" t="s">
        <v>1152</v>
      </c>
      <c r="B883" s="20" t="s">
        <v>1153</v>
      </c>
    </row>
    <row r="884" spans="1:2" hidden="1" x14ac:dyDescent="0.25">
      <c r="A884" s="20" t="s">
        <v>1154</v>
      </c>
      <c r="B884" s="20" t="s">
        <v>1155</v>
      </c>
    </row>
    <row r="885" spans="1:2" hidden="1" x14ac:dyDescent="0.25">
      <c r="A885" s="20" t="s">
        <v>1156</v>
      </c>
      <c r="B885" s="20" t="s">
        <v>1157</v>
      </c>
    </row>
    <row r="886" spans="1:2" hidden="1" x14ac:dyDescent="0.25">
      <c r="A886" s="20" t="s">
        <v>1158</v>
      </c>
      <c r="B886" s="20" t="s">
        <v>1159</v>
      </c>
    </row>
    <row r="887" spans="1:2" hidden="1" x14ac:dyDescent="0.25">
      <c r="A887" s="20" t="s">
        <v>1160</v>
      </c>
      <c r="B887" s="20" t="s">
        <v>1161</v>
      </c>
    </row>
    <row r="888" spans="1:2" hidden="1" x14ac:dyDescent="0.25">
      <c r="A888" s="20" t="s">
        <v>1162</v>
      </c>
      <c r="B888" s="20" t="s">
        <v>1163</v>
      </c>
    </row>
    <row r="889" spans="1:2" hidden="1" x14ac:dyDescent="0.25">
      <c r="A889" s="20" t="s">
        <v>1164</v>
      </c>
      <c r="B889" s="20" t="s">
        <v>1165</v>
      </c>
    </row>
    <row r="890" spans="1:2" hidden="1" x14ac:dyDescent="0.25">
      <c r="A890" s="20" t="s">
        <v>1166</v>
      </c>
      <c r="B890" s="20" t="s">
        <v>1167</v>
      </c>
    </row>
    <row r="891" spans="1:2" hidden="1" x14ac:dyDescent="0.25">
      <c r="A891" s="20" t="s">
        <v>1168</v>
      </c>
      <c r="B891" s="20" t="s">
        <v>1169</v>
      </c>
    </row>
    <row r="892" spans="1:2" hidden="1" x14ac:dyDescent="0.25">
      <c r="A892" s="20" t="s">
        <v>1170</v>
      </c>
      <c r="B892" s="20" t="s">
        <v>1171</v>
      </c>
    </row>
    <row r="893" spans="1:2" hidden="1" x14ac:dyDescent="0.25">
      <c r="A893" s="20" t="s">
        <v>1172</v>
      </c>
      <c r="B893" s="20" t="s">
        <v>1173</v>
      </c>
    </row>
    <row r="894" spans="1:2" hidden="1" x14ac:dyDescent="0.25">
      <c r="A894" s="20" t="s">
        <v>1174</v>
      </c>
      <c r="B894" s="20" t="s">
        <v>1175</v>
      </c>
    </row>
    <row r="895" spans="1:2" hidden="1" x14ac:dyDescent="0.25">
      <c r="A895" s="20" t="s">
        <v>1176</v>
      </c>
      <c r="B895" s="20" t="s">
        <v>1177</v>
      </c>
    </row>
    <row r="896" spans="1:2" hidden="1" x14ac:dyDescent="0.25">
      <c r="A896" s="20" t="s">
        <v>1178</v>
      </c>
      <c r="B896" s="20" t="s">
        <v>1179</v>
      </c>
    </row>
    <row r="897" spans="1:2" hidden="1" x14ac:dyDescent="0.25">
      <c r="A897" s="20" t="s">
        <v>1180</v>
      </c>
      <c r="B897" s="20" t="s">
        <v>1181</v>
      </c>
    </row>
    <row r="898" spans="1:2" hidden="1" x14ac:dyDescent="0.25">
      <c r="A898" s="20" t="s">
        <v>1182</v>
      </c>
      <c r="B898" s="20" t="s">
        <v>1183</v>
      </c>
    </row>
    <row r="899" spans="1:2" hidden="1" x14ac:dyDescent="0.25">
      <c r="A899" s="20" t="s">
        <v>1184</v>
      </c>
      <c r="B899" s="20" t="s">
        <v>1185</v>
      </c>
    </row>
    <row r="900" spans="1:2" hidden="1" x14ac:dyDescent="0.25">
      <c r="A900" s="20" t="s">
        <v>1186</v>
      </c>
      <c r="B900" s="20" t="s">
        <v>1187</v>
      </c>
    </row>
    <row r="901" spans="1:2" hidden="1" x14ac:dyDescent="0.25">
      <c r="A901" s="20" t="s">
        <v>1188</v>
      </c>
      <c r="B901" s="20" t="s">
        <v>1189</v>
      </c>
    </row>
    <row r="902" spans="1:2" hidden="1" x14ac:dyDescent="0.25">
      <c r="A902" s="20" t="s">
        <v>1190</v>
      </c>
      <c r="B902" s="20" t="s">
        <v>1191</v>
      </c>
    </row>
    <row r="903" spans="1:2" hidden="1" x14ac:dyDescent="0.25">
      <c r="A903" s="20" t="s">
        <v>1192</v>
      </c>
      <c r="B903" s="20" t="s">
        <v>1193</v>
      </c>
    </row>
    <row r="904" spans="1:2" hidden="1" x14ac:dyDescent="0.25">
      <c r="A904" s="20" t="s">
        <v>1194</v>
      </c>
      <c r="B904" s="20" t="s">
        <v>1195</v>
      </c>
    </row>
    <row r="905" spans="1:2" hidden="1" x14ac:dyDescent="0.25">
      <c r="A905" s="20" t="s">
        <v>1196</v>
      </c>
      <c r="B905" s="20" t="s">
        <v>1197</v>
      </c>
    </row>
    <row r="906" spans="1:2" hidden="1" x14ac:dyDescent="0.25">
      <c r="A906" s="20" t="s">
        <v>1198</v>
      </c>
      <c r="B906" s="20" t="s">
        <v>1199</v>
      </c>
    </row>
    <row r="907" spans="1:2" hidden="1" x14ac:dyDescent="0.25">
      <c r="A907" s="20" t="s">
        <v>1200</v>
      </c>
      <c r="B907" s="20" t="s">
        <v>1201</v>
      </c>
    </row>
    <row r="908" spans="1:2" hidden="1" x14ac:dyDescent="0.25">
      <c r="A908" s="20" t="s">
        <v>1202</v>
      </c>
      <c r="B908" s="20" t="s">
        <v>1203</v>
      </c>
    </row>
    <row r="909" spans="1:2" hidden="1" x14ac:dyDescent="0.25">
      <c r="A909" s="20" t="s">
        <v>1204</v>
      </c>
      <c r="B909" s="20" t="s">
        <v>1205</v>
      </c>
    </row>
    <row r="910" spans="1:2" hidden="1" x14ac:dyDescent="0.25">
      <c r="A910" s="20" t="s">
        <v>1206</v>
      </c>
      <c r="B910" s="20" t="s">
        <v>1207</v>
      </c>
    </row>
    <row r="911" spans="1:2" hidden="1" x14ac:dyDescent="0.25">
      <c r="A911" s="20" t="s">
        <v>1208</v>
      </c>
      <c r="B911" s="20" t="s">
        <v>1209</v>
      </c>
    </row>
    <row r="912" spans="1:2" hidden="1" x14ac:dyDescent="0.25">
      <c r="A912" s="20" t="s">
        <v>1210</v>
      </c>
      <c r="B912" s="20" t="s">
        <v>1211</v>
      </c>
    </row>
    <row r="913" spans="1:2" hidden="1" x14ac:dyDescent="0.25">
      <c r="A913" s="20" t="s">
        <v>1212</v>
      </c>
      <c r="B913" s="20" t="s">
        <v>1213</v>
      </c>
    </row>
    <row r="914" spans="1:2" hidden="1" x14ac:dyDescent="0.25">
      <c r="A914" s="20" t="s">
        <v>1214</v>
      </c>
      <c r="B914" s="20" t="s">
        <v>1215</v>
      </c>
    </row>
    <row r="915" spans="1:2" hidden="1" x14ac:dyDescent="0.25">
      <c r="A915" s="20" t="s">
        <v>1216</v>
      </c>
      <c r="B915" s="20" t="s">
        <v>1217</v>
      </c>
    </row>
    <row r="916" spans="1:2" hidden="1" x14ac:dyDescent="0.25">
      <c r="A916" s="20" t="s">
        <v>1218</v>
      </c>
      <c r="B916" s="20" t="s">
        <v>1219</v>
      </c>
    </row>
    <row r="917" spans="1:2" hidden="1" x14ac:dyDescent="0.25">
      <c r="A917" s="20" t="s">
        <v>1220</v>
      </c>
      <c r="B917" s="20" t="s">
        <v>1221</v>
      </c>
    </row>
    <row r="918" spans="1:2" hidden="1" x14ac:dyDescent="0.25">
      <c r="A918" s="20" t="s">
        <v>1222</v>
      </c>
      <c r="B918" s="20" t="s">
        <v>1223</v>
      </c>
    </row>
    <row r="919" spans="1:2" hidden="1" x14ac:dyDescent="0.25">
      <c r="A919" s="20" t="s">
        <v>1224</v>
      </c>
      <c r="B919" s="20" t="s">
        <v>1225</v>
      </c>
    </row>
    <row r="920" spans="1:2" hidden="1" x14ac:dyDescent="0.25">
      <c r="A920" s="20" t="s">
        <v>1226</v>
      </c>
      <c r="B920" s="20" t="s">
        <v>1227</v>
      </c>
    </row>
    <row r="921" spans="1:2" hidden="1" x14ac:dyDescent="0.25">
      <c r="A921" s="20" t="s">
        <v>1228</v>
      </c>
      <c r="B921" s="20" t="s">
        <v>1229</v>
      </c>
    </row>
    <row r="922" spans="1:2" hidden="1" x14ac:dyDescent="0.25">
      <c r="A922" s="20" t="s">
        <v>1230</v>
      </c>
      <c r="B922" s="20" t="s">
        <v>1231</v>
      </c>
    </row>
    <row r="923" spans="1:2" hidden="1" x14ac:dyDescent="0.25">
      <c r="A923" s="20" t="s">
        <v>1232</v>
      </c>
      <c r="B923" s="20" t="s">
        <v>1233</v>
      </c>
    </row>
    <row r="924" spans="1:2" hidden="1" x14ac:dyDescent="0.25">
      <c r="A924" s="20" t="s">
        <v>1234</v>
      </c>
      <c r="B924" s="20" t="s">
        <v>1235</v>
      </c>
    </row>
    <row r="925" spans="1:2" hidden="1" x14ac:dyDescent="0.25">
      <c r="A925" s="20" t="s">
        <v>1236</v>
      </c>
      <c r="B925" s="20" t="s">
        <v>1237</v>
      </c>
    </row>
    <row r="926" spans="1:2" hidden="1" x14ac:dyDescent="0.25">
      <c r="A926" s="20" t="s">
        <v>1238</v>
      </c>
      <c r="B926" s="20" t="s">
        <v>1239</v>
      </c>
    </row>
    <row r="927" spans="1:2" hidden="1" x14ac:dyDescent="0.25">
      <c r="A927" s="20" t="s">
        <v>1240</v>
      </c>
      <c r="B927" s="20" t="s">
        <v>1241</v>
      </c>
    </row>
    <row r="928" spans="1:2" hidden="1" x14ac:dyDescent="0.25">
      <c r="A928" s="20" t="s">
        <v>1242</v>
      </c>
      <c r="B928" s="20" t="s">
        <v>1243</v>
      </c>
    </row>
    <row r="929" spans="1:2" hidden="1" x14ac:dyDescent="0.25">
      <c r="A929" s="20" t="s">
        <v>1244</v>
      </c>
      <c r="B929" s="20" t="s">
        <v>1245</v>
      </c>
    </row>
    <row r="930" spans="1:2" hidden="1" x14ac:dyDescent="0.25">
      <c r="A930" s="20" t="s">
        <v>1246</v>
      </c>
      <c r="B930" s="20" t="s">
        <v>1247</v>
      </c>
    </row>
    <row r="931" spans="1:2" hidden="1" x14ac:dyDescent="0.25">
      <c r="A931" s="20" t="s">
        <v>1248</v>
      </c>
      <c r="B931" s="20" t="s">
        <v>1249</v>
      </c>
    </row>
    <row r="932" spans="1:2" hidden="1" x14ac:dyDescent="0.25">
      <c r="A932" s="20" t="s">
        <v>1250</v>
      </c>
      <c r="B932" s="20" t="s">
        <v>1251</v>
      </c>
    </row>
    <row r="933" spans="1:2" hidden="1" x14ac:dyDescent="0.25">
      <c r="A933" s="20" t="s">
        <v>1252</v>
      </c>
      <c r="B933" s="20" t="s">
        <v>1253</v>
      </c>
    </row>
    <row r="934" spans="1:2" hidden="1" x14ac:dyDescent="0.25">
      <c r="A934" s="20" t="s">
        <v>1254</v>
      </c>
      <c r="B934" s="20" t="s">
        <v>1255</v>
      </c>
    </row>
    <row r="935" spans="1:2" hidden="1" x14ac:dyDescent="0.25">
      <c r="A935" s="20" t="s">
        <v>1256</v>
      </c>
      <c r="B935" s="20" t="s">
        <v>1257</v>
      </c>
    </row>
    <row r="936" spans="1:2" hidden="1" x14ac:dyDescent="0.25">
      <c r="A936" s="20" t="s">
        <v>1258</v>
      </c>
      <c r="B936" s="20" t="s">
        <v>1259</v>
      </c>
    </row>
    <row r="937" spans="1:2" hidden="1" x14ac:dyDescent="0.25">
      <c r="A937" s="20" t="s">
        <v>1260</v>
      </c>
      <c r="B937" s="20" t="s">
        <v>1261</v>
      </c>
    </row>
    <row r="938" spans="1:2" hidden="1" x14ac:dyDescent="0.25">
      <c r="A938" s="20" t="s">
        <v>1262</v>
      </c>
      <c r="B938" s="20" t="s">
        <v>1263</v>
      </c>
    </row>
    <row r="939" spans="1:2" hidden="1" x14ac:dyDescent="0.25">
      <c r="A939" s="20" t="s">
        <v>1264</v>
      </c>
      <c r="B939" s="20" t="s">
        <v>1265</v>
      </c>
    </row>
    <row r="940" spans="1:2" hidden="1" x14ac:dyDescent="0.25">
      <c r="A940" s="20" t="s">
        <v>1266</v>
      </c>
      <c r="B940" s="20" t="s">
        <v>1267</v>
      </c>
    </row>
    <row r="941" spans="1:2" hidden="1" x14ac:dyDescent="0.25">
      <c r="A941" s="20" t="s">
        <v>1268</v>
      </c>
      <c r="B941" s="20" t="s">
        <v>1269</v>
      </c>
    </row>
    <row r="942" spans="1:2" hidden="1" x14ac:dyDescent="0.25">
      <c r="A942" s="20" t="s">
        <v>1270</v>
      </c>
      <c r="B942" s="20" t="s">
        <v>1271</v>
      </c>
    </row>
    <row r="943" spans="1:2" hidden="1" x14ac:dyDescent="0.25">
      <c r="A943" s="20" t="s">
        <v>1272</v>
      </c>
      <c r="B943" s="20" t="s">
        <v>1273</v>
      </c>
    </row>
    <row r="944" spans="1:2" hidden="1" x14ac:dyDescent="0.25">
      <c r="A944" s="20" t="s">
        <v>1274</v>
      </c>
      <c r="B944" s="20" t="s">
        <v>1275</v>
      </c>
    </row>
    <row r="945" spans="1:2" hidden="1" x14ac:dyDescent="0.25">
      <c r="A945" s="20" t="s">
        <v>1276</v>
      </c>
      <c r="B945" s="20" t="s">
        <v>1277</v>
      </c>
    </row>
    <row r="946" spans="1:2" hidden="1" x14ac:dyDescent="0.25">
      <c r="A946" s="20" t="s">
        <v>1278</v>
      </c>
      <c r="B946" s="20" t="s">
        <v>1279</v>
      </c>
    </row>
    <row r="947" spans="1:2" hidden="1" x14ac:dyDescent="0.25">
      <c r="A947" s="20" t="s">
        <v>1280</v>
      </c>
      <c r="B947" s="20" t="s">
        <v>1281</v>
      </c>
    </row>
    <row r="948" spans="1:2" hidden="1" x14ac:dyDescent="0.25">
      <c r="A948" s="20" t="s">
        <v>1282</v>
      </c>
      <c r="B948" s="20" t="s">
        <v>1283</v>
      </c>
    </row>
    <row r="949" spans="1:2" hidden="1" x14ac:dyDescent="0.25">
      <c r="A949" s="20" t="s">
        <v>1284</v>
      </c>
      <c r="B949" s="20" t="s">
        <v>1285</v>
      </c>
    </row>
    <row r="950" spans="1:2" hidden="1" x14ac:dyDescent="0.25">
      <c r="A950" s="20" t="s">
        <v>1286</v>
      </c>
      <c r="B950" s="20" t="s">
        <v>1287</v>
      </c>
    </row>
    <row r="951" spans="1:2" hidden="1" x14ac:dyDescent="0.25">
      <c r="A951" s="20" t="s">
        <v>1288</v>
      </c>
      <c r="B951" s="20" t="s">
        <v>1289</v>
      </c>
    </row>
    <row r="952" spans="1:2" hidden="1" x14ac:dyDescent="0.25">
      <c r="A952" s="20" t="s">
        <v>1290</v>
      </c>
      <c r="B952" s="20" t="s">
        <v>1291</v>
      </c>
    </row>
    <row r="953" spans="1:2" hidden="1" x14ac:dyDescent="0.25">
      <c r="A953" s="20" t="s">
        <v>1292</v>
      </c>
      <c r="B953" s="20" t="s">
        <v>1293</v>
      </c>
    </row>
    <row r="954" spans="1:2" hidden="1" x14ac:dyDescent="0.25">
      <c r="A954" s="20" t="s">
        <v>1294</v>
      </c>
      <c r="B954" s="20" t="s">
        <v>1295</v>
      </c>
    </row>
    <row r="955" spans="1:2" hidden="1" x14ac:dyDescent="0.25">
      <c r="A955" s="20" t="s">
        <v>1296</v>
      </c>
      <c r="B955" s="20" t="s">
        <v>1297</v>
      </c>
    </row>
    <row r="956" spans="1:2" hidden="1" x14ac:dyDescent="0.25">
      <c r="A956" s="20" t="s">
        <v>1298</v>
      </c>
      <c r="B956" s="20" t="s">
        <v>1299</v>
      </c>
    </row>
    <row r="957" spans="1:2" hidden="1" x14ac:dyDescent="0.25">
      <c r="A957" s="20" t="s">
        <v>1300</v>
      </c>
      <c r="B957" s="20" t="s">
        <v>1301</v>
      </c>
    </row>
    <row r="958" spans="1:2" hidden="1" x14ac:dyDescent="0.25">
      <c r="A958" s="20" t="s">
        <v>1302</v>
      </c>
      <c r="B958" s="20" t="s">
        <v>1303</v>
      </c>
    </row>
    <row r="959" spans="1:2" hidden="1" x14ac:dyDescent="0.25">
      <c r="A959" s="20" t="s">
        <v>1304</v>
      </c>
      <c r="B959" s="20" t="s">
        <v>1305</v>
      </c>
    </row>
    <row r="960" spans="1:2" hidden="1" x14ac:dyDescent="0.25">
      <c r="A960" s="20" t="s">
        <v>1306</v>
      </c>
      <c r="B960" s="20" t="s">
        <v>1307</v>
      </c>
    </row>
    <row r="961" spans="1:2" hidden="1" x14ac:dyDescent="0.25">
      <c r="A961" s="20" t="s">
        <v>1308</v>
      </c>
      <c r="B961" s="20" t="s">
        <v>1309</v>
      </c>
    </row>
    <row r="962" spans="1:2" hidden="1" x14ac:dyDescent="0.25">
      <c r="A962" s="20" t="s">
        <v>1310</v>
      </c>
      <c r="B962" s="20" t="s">
        <v>1311</v>
      </c>
    </row>
    <row r="963" spans="1:2" hidden="1" x14ac:dyDescent="0.25">
      <c r="A963" s="20" t="s">
        <v>1312</v>
      </c>
      <c r="B963" s="20" t="s">
        <v>1313</v>
      </c>
    </row>
    <row r="964" spans="1:2" hidden="1" x14ac:dyDescent="0.25">
      <c r="A964" s="20" t="s">
        <v>1314</v>
      </c>
      <c r="B964" s="20" t="s">
        <v>1315</v>
      </c>
    </row>
    <row r="965" spans="1:2" hidden="1" x14ac:dyDescent="0.25">
      <c r="A965" s="20" t="s">
        <v>1316</v>
      </c>
      <c r="B965" s="20" t="s">
        <v>1317</v>
      </c>
    </row>
    <row r="966" spans="1:2" hidden="1" x14ac:dyDescent="0.25">
      <c r="A966" s="20" t="s">
        <v>1318</v>
      </c>
      <c r="B966" s="20" t="s">
        <v>1319</v>
      </c>
    </row>
    <row r="967" spans="1:2" hidden="1" x14ac:dyDescent="0.25">
      <c r="A967" s="20" t="s">
        <v>1320</v>
      </c>
      <c r="B967" s="20" t="s">
        <v>1321</v>
      </c>
    </row>
    <row r="968" spans="1:2" hidden="1" x14ac:dyDescent="0.25">
      <c r="A968" s="20" t="s">
        <v>1322</v>
      </c>
      <c r="B968" s="20" t="s">
        <v>1323</v>
      </c>
    </row>
    <row r="969" spans="1:2" hidden="1" x14ac:dyDescent="0.25">
      <c r="A969" s="20" t="s">
        <v>1324</v>
      </c>
      <c r="B969" s="20" t="s">
        <v>1325</v>
      </c>
    </row>
    <row r="970" spans="1:2" hidden="1" x14ac:dyDescent="0.25">
      <c r="A970" s="20" t="s">
        <v>1326</v>
      </c>
      <c r="B970" s="20" t="s">
        <v>1327</v>
      </c>
    </row>
    <row r="971" spans="1:2" hidden="1" x14ac:dyDescent="0.25">
      <c r="A971" s="20" t="s">
        <v>1328</v>
      </c>
      <c r="B971" s="20" t="s">
        <v>1329</v>
      </c>
    </row>
    <row r="972" spans="1:2" hidden="1" x14ac:dyDescent="0.25">
      <c r="A972" s="20" t="s">
        <v>1330</v>
      </c>
      <c r="B972" s="20" t="s">
        <v>1331</v>
      </c>
    </row>
    <row r="973" spans="1:2" hidden="1" x14ac:dyDescent="0.25">
      <c r="A973" s="20" t="s">
        <v>1332</v>
      </c>
      <c r="B973" s="20" t="s">
        <v>1333</v>
      </c>
    </row>
    <row r="974" spans="1:2" hidden="1" x14ac:dyDescent="0.25">
      <c r="A974" s="20" t="s">
        <v>1334</v>
      </c>
      <c r="B974" s="20" t="s">
        <v>1335</v>
      </c>
    </row>
    <row r="975" spans="1:2" hidden="1" x14ac:dyDescent="0.25">
      <c r="A975" s="20" t="s">
        <v>1336</v>
      </c>
      <c r="B975" s="20" t="s">
        <v>1337</v>
      </c>
    </row>
    <row r="976" spans="1:2" hidden="1" x14ac:dyDescent="0.25">
      <c r="A976" s="20" t="s">
        <v>1338</v>
      </c>
      <c r="B976" s="20" t="s">
        <v>1339</v>
      </c>
    </row>
    <row r="977" spans="1:2" hidden="1" x14ac:dyDescent="0.25">
      <c r="A977" s="20" t="s">
        <v>1340</v>
      </c>
      <c r="B977" s="20" t="s">
        <v>1341</v>
      </c>
    </row>
    <row r="978" spans="1:2" hidden="1" x14ac:dyDescent="0.25">
      <c r="A978" s="20" t="s">
        <v>1342</v>
      </c>
      <c r="B978" s="20" t="s">
        <v>1343</v>
      </c>
    </row>
    <row r="979" spans="1:2" hidden="1" x14ac:dyDescent="0.25">
      <c r="A979" s="20" t="s">
        <v>1344</v>
      </c>
      <c r="B979" s="20" t="s">
        <v>1345</v>
      </c>
    </row>
    <row r="980" spans="1:2" hidden="1" x14ac:dyDescent="0.25">
      <c r="A980" s="20" t="s">
        <v>1346</v>
      </c>
      <c r="B980" s="20" t="s">
        <v>1347</v>
      </c>
    </row>
    <row r="981" spans="1:2" hidden="1" x14ac:dyDescent="0.25">
      <c r="A981" s="20" t="s">
        <v>1348</v>
      </c>
      <c r="B981" s="20" t="s">
        <v>1349</v>
      </c>
    </row>
    <row r="982" spans="1:2" hidden="1" x14ac:dyDescent="0.25">
      <c r="A982" s="20" t="s">
        <v>1350</v>
      </c>
      <c r="B982" s="20" t="s">
        <v>1351</v>
      </c>
    </row>
    <row r="983" spans="1:2" hidden="1" x14ac:dyDescent="0.25">
      <c r="A983" s="20" t="s">
        <v>1352</v>
      </c>
      <c r="B983" s="20" t="s">
        <v>1353</v>
      </c>
    </row>
    <row r="984" spans="1:2" hidden="1" x14ac:dyDescent="0.25">
      <c r="A984" s="20" t="s">
        <v>1354</v>
      </c>
      <c r="B984" s="20" t="s">
        <v>1355</v>
      </c>
    </row>
    <row r="985" spans="1:2" hidden="1" x14ac:dyDescent="0.25">
      <c r="A985" s="20" t="s">
        <v>1356</v>
      </c>
      <c r="B985" s="20" t="s">
        <v>1357</v>
      </c>
    </row>
    <row r="986" spans="1:2" hidden="1" x14ac:dyDescent="0.25">
      <c r="A986" s="20" t="s">
        <v>1358</v>
      </c>
      <c r="B986" s="20" t="s">
        <v>1359</v>
      </c>
    </row>
    <row r="987" spans="1:2" hidden="1" x14ac:dyDescent="0.25">
      <c r="A987" s="20" t="s">
        <v>1360</v>
      </c>
      <c r="B987" s="20" t="s">
        <v>1361</v>
      </c>
    </row>
    <row r="988" spans="1:2" hidden="1" x14ac:dyDescent="0.25">
      <c r="A988" s="20" t="s">
        <v>1362</v>
      </c>
      <c r="B988" s="20" t="s">
        <v>1363</v>
      </c>
    </row>
    <row r="989" spans="1:2" hidden="1" x14ac:dyDescent="0.25">
      <c r="A989" s="20" t="s">
        <v>1364</v>
      </c>
      <c r="B989" s="20" t="s">
        <v>1365</v>
      </c>
    </row>
    <row r="990" spans="1:2" hidden="1" x14ac:dyDescent="0.25">
      <c r="A990" s="20" t="s">
        <v>1366</v>
      </c>
      <c r="B990" s="20" t="s">
        <v>1367</v>
      </c>
    </row>
    <row r="991" spans="1:2" hidden="1" x14ac:dyDescent="0.25">
      <c r="A991" s="20" t="s">
        <v>1368</v>
      </c>
      <c r="B991" s="20" t="s">
        <v>1369</v>
      </c>
    </row>
    <row r="992" spans="1:2" hidden="1" x14ac:dyDescent="0.25">
      <c r="A992" s="20" t="s">
        <v>1370</v>
      </c>
      <c r="B992" s="20" t="s">
        <v>1371</v>
      </c>
    </row>
    <row r="993" spans="1:2" hidden="1" x14ac:dyDescent="0.25">
      <c r="A993" s="20" t="s">
        <v>1372</v>
      </c>
      <c r="B993" s="20" t="s">
        <v>1373</v>
      </c>
    </row>
    <row r="994" spans="1:2" hidden="1" x14ac:dyDescent="0.25">
      <c r="A994" s="20" t="s">
        <v>1374</v>
      </c>
      <c r="B994" s="20" t="s">
        <v>1375</v>
      </c>
    </row>
    <row r="995" spans="1:2" hidden="1" x14ac:dyDescent="0.25">
      <c r="A995" s="20" t="s">
        <v>1376</v>
      </c>
      <c r="B995" s="20" t="s">
        <v>1377</v>
      </c>
    </row>
    <row r="996" spans="1:2" hidden="1" x14ac:dyDescent="0.25">
      <c r="A996" s="20" t="s">
        <v>1378</v>
      </c>
      <c r="B996" s="20" t="s">
        <v>1379</v>
      </c>
    </row>
    <row r="997" spans="1:2" hidden="1" x14ac:dyDescent="0.25">
      <c r="A997" s="20" t="s">
        <v>1380</v>
      </c>
      <c r="B997" s="20" t="s">
        <v>1381</v>
      </c>
    </row>
    <row r="998" spans="1:2" hidden="1" x14ac:dyDescent="0.25">
      <c r="A998" s="20" t="s">
        <v>1382</v>
      </c>
      <c r="B998" s="20" t="s">
        <v>1383</v>
      </c>
    </row>
    <row r="999" spans="1:2" hidden="1" x14ac:dyDescent="0.25">
      <c r="A999" s="20" t="s">
        <v>1384</v>
      </c>
      <c r="B999" s="20" t="s">
        <v>1385</v>
      </c>
    </row>
    <row r="1000" spans="1:2" hidden="1" x14ac:dyDescent="0.25">
      <c r="A1000" s="20" t="s">
        <v>1386</v>
      </c>
      <c r="B1000" s="20" t="s">
        <v>1387</v>
      </c>
    </row>
    <row r="1001" spans="1:2" hidden="1" x14ac:dyDescent="0.25">
      <c r="A1001" s="20" t="s">
        <v>1388</v>
      </c>
      <c r="B1001" s="20" t="s">
        <v>1389</v>
      </c>
    </row>
    <row r="1002" spans="1:2" hidden="1" x14ac:dyDescent="0.25">
      <c r="A1002" s="20" t="s">
        <v>1390</v>
      </c>
      <c r="B1002" s="20" t="s">
        <v>1391</v>
      </c>
    </row>
    <row r="1003" spans="1:2" hidden="1" x14ac:dyDescent="0.25">
      <c r="A1003" s="20" t="s">
        <v>1392</v>
      </c>
      <c r="B1003" s="20" t="s">
        <v>1393</v>
      </c>
    </row>
    <row r="1004" spans="1:2" hidden="1" x14ac:dyDescent="0.25">
      <c r="A1004" s="20" t="s">
        <v>1394</v>
      </c>
      <c r="B1004" s="20" t="s">
        <v>1395</v>
      </c>
    </row>
    <row r="1005" spans="1:2" hidden="1" x14ac:dyDescent="0.25">
      <c r="A1005" s="20" t="s">
        <v>1396</v>
      </c>
      <c r="B1005" s="20" t="s">
        <v>1397</v>
      </c>
    </row>
    <row r="1006" spans="1:2" hidden="1" x14ac:dyDescent="0.25">
      <c r="A1006" s="20" t="s">
        <v>1398</v>
      </c>
      <c r="B1006" s="20" t="s">
        <v>1399</v>
      </c>
    </row>
    <row r="1007" spans="1:2" hidden="1" x14ac:dyDescent="0.25">
      <c r="A1007" s="20" t="s">
        <v>1400</v>
      </c>
      <c r="B1007" s="20" t="s">
        <v>1401</v>
      </c>
    </row>
    <row r="1008" spans="1:2" hidden="1" x14ac:dyDescent="0.25">
      <c r="A1008" s="20" t="s">
        <v>1402</v>
      </c>
      <c r="B1008" s="20" t="s">
        <v>1403</v>
      </c>
    </row>
    <row r="1009" spans="1:2" hidden="1" x14ac:dyDescent="0.25">
      <c r="A1009" s="20" t="s">
        <v>1404</v>
      </c>
      <c r="B1009" s="20" t="s">
        <v>1405</v>
      </c>
    </row>
    <row r="1010" spans="1:2" hidden="1" x14ac:dyDescent="0.25">
      <c r="A1010" s="20" t="s">
        <v>1406</v>
      </c>
      <c r="B1010" s="20" t="s">
        <v>1407</v>
      </c>
    </row>
    <row r="1011" spans="1:2" hidden="1" x14ac:dyDescent="0.25">
      <c r="A1011" s="20" t="s">
        <v>1408</v>
      </c>
      <c r="B1011" s="20" t="s">
        <v>1409</v>
      </c>
    </row>
    <row r="1012" spans="1:2" hidden="1" x14ac:dyDescent="0.25">
      <c r="A1012" s="20" t="s">
        <v>1410</v>
      </c>
      <c r="B1012" s="20" t="s">
        <v>1411</v>
      </c>
    </row>
    <row r="1013" spans="1:2" hidden="1" x14ac:dyDescent="0.25">
      <c r="A1013" s="20" t="s">
        <v>1412</v>
      </c>
      <c r="B1013" s="20" t="s">
        <v>1413</v>
      </c>
    </row>
    <row r="1014" spans="1:2" hidden="1" x14ac:dyDescent="0.25">
      <c r="A1014" s="20" t="s">
        <v>1414</v>
      </c>
      <c r="B1014" s="20" t="s">
        <v>1415</v>
      </c>
    </row>
    <row r="1015" spans="1:2" hidden="1" x14ac:dyDescent="0.25">
      <c r="A1015" s="20" t="s">
        <v>1416</v>
      </c>
      <c r="B1015" s="20" t="s">
        <v>1417</v>
      </c>
    </row>
    <row r="1016" spans="1:2" hidden="1" x14ac:dyDescent="0.25">
      <c r="A1016" s="20" t="s">
        <v>1418</v>
      </c>
      <c r="B1016" s="20" t="s">
        <v>1419</v>
      </c>
    </row>
    <row r="1017" spans="1:2" hidden="1" x14ac:dyDescent="0.25">
      <c r="A1017" s="20" t="s">
        <v>1420</v>
      </c>
      <c r="B1017" s="20" t="s">
        <v>1421</v>
      </c>
    </row>
    <row r="1018" spans="1:2" hidden="1" x14ac:dyDescent="0.25">
      <c r="A1018" s="20" t="s">
        <v>1422</v>
      </c>
      <c r="B1018" s="20" t="s">
        <v>1423</v>
      </c>
    </row>
    <row r="1019" spans="1:2" hidden="1" x14ac:dyDescent="0.25">
      <c r="A1019" s="20" t="s">
        <v>1424</v>
      </c>
      <c r="B1019" s="20" t="s">
        <v>1425</v>
      </c>
    </row>
    <row r="1020" spans="1:2" hidden="1" x14ac:dyDescent="0.25">
      <c r="A1020" s="20" t="s">
        <v>1426</v>
      </c>
      <c r="B1020" s="20" t="s">
        <v>1427</v>
      </c>
    </row>
    <row r="1021" spans="1:2" hidden="1" x14ac:dyDescent="0.25">
      <c r="A1021" s="20" t="s">
        <v>1428</v>
      </c>
      <c r="B1021" s="20" t="s">
        <v>1429</v>
      </c>
    </row>
    <row r="1022" spans="1:2" hidden="1" x14ac:dyDescent="0.25">
      <c r="A1022" s="20" t="s">
        <v>1430</v>
      </c>
      <c r="B1022" s="20" t="s">
        <v>1431</v>
      </c>
    </row>
    <row r="1023" spans="1:2" hidden="1" x14ac:dyDescent="0.25">
      <c r="A1023" s="20" t="s">
        <v>1432</v>
      </c>
      <c r="B1023" s="20" t="s">
        <v>1433</v>
      </c>
    </row>
    <row r="1024" spans="1:2" hidden="1" x14ac:dyDescent="0.25">
      <c r="A1024" s="20" t="s">
        <v>1434</v>
      </c>
      <c r="B1024" s="20" t="s">
        <v>1435</v>
      </c>
    </row>
    <row r="1025" spans="1:2" hidden="1" x14ac:dyDescent="0.25">
      <c r="A1025" s="20" t="s">
        <v>1436</v>
      </c>
      <c r="B1025" s="20" t="s">
        <v>1437</v>
      </c>
    </row>
    <row r="1026" spans="1:2" hidden="1" x14ac:dyDescent="0.25">
      <c r="A1026" s="20" t="s">
        <v>1438</v>
      </c>
      <c r="B1026" s="20" t="s">
        <v>1439</v>
      </c>
    </row>
    <row r="1027" spans="1:2" hidden="1" x14ac:dyDescent="0.25">
      <c r="A1027" s="20" t="s">
        <v>1440</v>
      </c>
      <c r="B1027" s="20" t="s">
        <v>1441</v>
      </c>
    </row>
    <row r="1028" spans="1:2" hidden="1" x14ac:dyDescent="0.25">
      <c r="A1028" s="20" t="s">
        <v>1442</v>
      </c>
      <c r="B1028" s="20" t="s">
        <v>1443</v>
      </c>
    </row>
    <row r="1029" spans="1:2" hidden="1" x14ac:dyDescent="0.25">
      <c r="A1029" s="20" t="s">
        <v>1444</v>
      </c>
      <c r="B1029" s="20" t="s">
        <v>1445</v>
      </c>
    </row>
    <row r="1030" spans="1:2" hidden="1" x14ac:dyDescent="0.25">
      <c r="A1030" s="20" t="s">
        <v>1446</v>
      </c>
      <c r="B1030" s="20" t="s">
        <v>1447</v>
      </c>
    </row>
    <row r="1031" spans="1:2" hidden="1" x14ac:dyDescent="0.25">
      <c r="A1031" s="20" t="s">
        <v>1448</v>
      </c>
      <c r="B1031" s="20" t="s">
        <v>1449</v>
      </c>
    </row>
    <row r="1032" spans="1:2" hidden="1" x14ac:dyDescent="0.25">
      <c r="A1032" s="20" t="s">
        <v>1450</v>
      </c>
      <c r="B1032" s="20" t="s">
        <v>1451</v>
      </c>
    </row>
    <row r="1033" spans="1:2" hidden="1" x14ac:dyDescent="0.25">
      <c r="A1033" s="20" t="s">
        <v>1452</v>
      </c>
      <c r="B1033" s="20" t="s">
        <v>1453</v>
      </c>
    </row>
    <row r="1034" spans="1:2" hidden="1" x14ac:dyDescent="0.25">
      <c r="A1034" s="20" t="s">
        <v>1454</v>
      </c>
      <c r="B1034" s="20" t="s">
        <v>1455</v>
      </c>
    </row>
    <row r="1035" spans="1:2" hidden="1" x14ac:dyDescent="0.25">
      <c r="A1035" s="20" t="s">
        <v>1456</v>
      </c>
      <c r="B1035" s="20" t="s">
        <v>1457</v>
      </c>
    </row>
    <row r="1036" spans="1:2" hidden="1" x14ac:dyDescent="0.25">
      <c r="A1036" s="20" t="s">
        <v>1458</v>
      </c>
      <c r="B1036" s="20" t="s">
        <v>1459</v>
      </c>
    </row>
    <row r="1037" spans="1:2" hidden="1" x14ac:dyDescent="0.25">
      <c r="A1037" s="20" t="s">
        <v>1460</v>
      </c>
      <c r="B1037" s="20" t="s">
        <v>1461</v>
      </c>
    </row>
    <row r="1038" spans="1:2" hidden="1" x14ac:dyDescent="0.25">
      <c r="A1038" s="20" t="s">
        <v>1462</v>
      </c>
      <c r="B1038" s="20" t="s">
        <v>1463</v>
      </c>
    </row>
    <row r="1039" spans="1:2" hidden="1" x14ac:dyDescent="0.25">
      <c r="A1039" s="20" t="s">
        <v>1464</v>
      </c>
      <c r="B1039" s="20" t="s">
        <v>1465</v>
      </c>
    </row>
    <row r="1040" spans="1:2" hidden="1" x14ac:dyDescent="0.25">
      <c r="A1040" s="20" t="s">
        <v>1466</v>
      </c>
      <c r="B1040" s="20" t="s">
        <v>1467</v>
      </c>
    </row>
    <row r="1041" spans="1:2" hidden="1" x14ac:dyDescent="0.25">
      <c r="A1041" s="20" t="s">
        <v>1468</v>
      </c>
      <c r="B1041" s="20" t="s">
        <v>1469</v>
      </c>
    </row>
    <row r="1042" spans="1:2" hidden="1" x14ac:dyDescent="0.25">
      <c r="A1042" s="20" t="s">
        <v>1470</v>
      </c>
      <c r="B1042" s="20" t="s">
        <v>1471</v>
      </c>
    </row>
    <row r="1043" spans="1:2" hidden="1" x14ac:dyDescent="0.25">
      <c r="A1043" s="20" t="s">
        <v>1472</v>
      </c>
      <c r="B1043" s="20" t="s">
        <v>1473</v>
      </c>
    </row>
    <row r="1044" spans="1:2" hidden="1" x14ac:dyDescent="0.25">
      <c r="A1044" s="20" t="s">
        <v>1474</v>
      </c>
      <c r="B1044" s="20" t="s">
        <v>1475</v>
      </c>
    </row>
    <row r="1045" spans="1:2" hidden="1" x14ac:dyDescent="0.25">
      <c r="A1045" s="20" t="s">
        <v>1476</v>
      </c>
      <c r="B1045" s="20" t="s">
        <v>1477</v>
      </c>
    </row>
    <row r="1046" spans="1:2" hidden="1" x14ac:dyDescent="0.25">
      <c r="A1046" s="20" t="s">
        <v>1478</v>
      </c>
      <c r="B1046" s="20" t="s">
        <v>1479</v>
      </c>
    </row>
    <row r="1047" spans="1:2" hidden="1" x14ac:dyDescent="0.25">
      <c r="A1047" s="20" t="s">
        <v>1480</v>
      </c>
      <c r="B1047" s="20" t="s">
        <v>1481</v>
      </c>
    </row>
    <row r="1048" spans="1:2" hidden="1" x14ac:dyDescent="0.25">
      <c r="A1048" s="20" t="s">
        <v>1482</v>
      </c>
      <c r="B1048" s="20" t="s">
        <v>1483</v>
      </c>
    </row>
    <row r="1049" spans="1:2" hidden="1" x14ac:dyDescent="0.25">
      <c r="A1049" s="20" t="s">
        <v>1484</v>
      </c>
      <c r="B1049" s="20" t="s">
        <v>1485</v>
      </c>
    </row>
    <row r="1050" spans="1:2" hidden="1" x14ac:dyDescent="0.25">
      <c r="A1050" s="20" t="s">
        <v>1486</v>
      </c>
      <c r="B1050" s="20" t="s">
        <v>1487</v>
      </c>
    </row>
    <row r="1051" spans="1:2" hidden="1" x14ac:dyDescent="0.25">
      <c r="A1051" s="20" t="s">
        <v>1488</v>
      </c>
      <c r="B1051" s="20" t="s">
        <v>1489</v>
      </c>
    </row>
    <row r="1052" spans="1:2" hidden="1" x14ac:dyDescent="0.25">
      <c r="A1052" s="20" t="s">
        <v>1490</v>
      </c>
      <c r="B1052" s="20" t="s">
        <v>1491</v>
      </c>
    </row>
    <row r="1053" spans="1:2" hidden="1" x14ac:dyDescent="0.25">
      <c r="A1053" s="20" t="s">
        <v>1492</v>
      </c>
      <c r="B1053" s="20" t="s">
        <v>1493</v>
      </c>
    </row>
    <row r="1054" spans="1:2" hidden="1" x14ac:dyDescent="0.25">
      <c r="A1054" s="20" t="s">
        <v>1494</v>
      </c>
      <c r="B1054" s="20" t="s">
        <v>1495</v>
      </c>
    </row>
    <row r="1055" spans="1:2" hidden="1" x14ac:dyDescent="0.25">
      <c r="A1055" s="20" t="s">
        <v>1496</v>
      </c>
      <c r="B1055" s="20" t="s">
        <v>1497</v>
      </c>
    </row>
    <row r="1056" spans="1:2" hidden="1" x14ac:dyDescent="0.25">
      <c r="A1056" s="20" t="s">
        <v>1498</v>
      </c>
      <c r="B1056" s="20" t="s">
        <v>1499</v>
      </c>
    </row>
    <row r="1057" spans="1:2" hidden="1" x14ac:dyDescent="0.25">
      <c r="A1057" s="20" t="s">
        <v>1500</v>
      </c>
      <c r="B1057" s="20" t="s">
        <v>1501</v>
      </c>
    </row>
    <row r="1058" spans="1:2" hidden="1" x14ac:dyDescent="0.25">
      <c r="A1058" s="20" t="s">
        <v>1502</v>
      </c>
      <c r="B1058" s="20" t="s">
        <v>1503</v>
      </c>
    </row>
    <row r="1059" spans="1:2" hidden="1" x14ac:dyDescent="0.25">
      <c r="A1059" s="20" t="s">
        <v>1504</v>
      </c>
      <c r="B1059" s="20" t="s">
        <v>1505</v>
      </c>
    </row>
    <row r="1060" spans="1:2" hidden="1" x14ac:dyDescent="0.25">
      <c r="A1060" s="20" t="s">
        <v>1506</v>
      </c>
      <c r="B1060" s="20" t="s">
        <v>1507</v>
      </c>
    </row>
    <row r="1061" spans="1:2" hidden="1" x14ac:dyDescent="0.25">
      <c r="A1061" s="20" t="s">
        <v>1508</v>
      </c>
      <c r="B1061" s="20" t="s">
        <v>1509</v>
      </c>
    </row>
    <row r="1062" spans="1:2" hidden="1" x14ac:dyDescent="0.25">
      <c r="A1062" s="20" t="s">
        <v>1510</v>
      </c>
      <c r="B1062" s="20" t="s">
        <v>1511</v>
      </c>
    </row>
    <row r="1063" spans="1:2" hidden="1" x14ac:dyDescent="0.25">
      <c r="A1063" s="20" t="s">
        <v>1512</v>
      </c>
      <c r="B1063" s="20" t="s">
        <v>1513</v>
      </c>
    </row>
    <row r="1064" spans="1:2" hidden="1" x14ac:dyDescent="0.25">
      <c r="A1064" s="20" t="s">
        <v>1514</v>
      </c>
      <c r="B1064" s="20" t="s">
        <v>1515</v>
      </c>
    </row>
    <row r="1065" spans="1:2" hidden="1" x14ac:dyDescent="0.25">
      <c r="A1065" s="20" t="s">
        <v>1516</v>
      </c>
      <c r="B1065" s="20" t="s">
        <v>1517</v>
      </c>
    </row>
    <row r="1066" spans="1:2" hidden="1" x14ac:dyDescent="0.25">
      <c r="A1066" s="20" t="s">
        <v>1518</v>
      </c>
      <c r="B1066" s="20" t="s">
        <v>1519</v>
      </c>
    </row>
    <row r="1067" spans="1:2" hidden="1" x14ac:dyDescent="0.25">
      <c r="A1067" s="20" t="s">
        <v>1520</v>
      </c>
      <c r="B1067" s="20" t="s">
        <v>1521</v>
      </c>
    </row>
    <row r="1068" spans="1:2" hidden="1" x14ac:dyDescent="0.25">
      <c r="A1068" s="20" t="s">
        <v>1522</v>
      </c>
      <c r="B1068" s="20" t="s">
        <v>1523</v>
      </c>
    </row>
    <row r="1069" spans="1:2" hidden="1" x14ac:dyDescent="0.25">
      <c r="A1069" s="20" t="s">
        <v>1524</v>
      </c>
      <c r="B1069" s="20" t="s">
        <v>1525</v>
      </c>
    </row>
    <row r="1070" spans="1:2" hidden="1" x14ac:dyDescent="0.25">
      <c r="A1070" s="20" t="s">
        <v>1526</v>
      </c>
      <c r="B1070" s="20" t="s">
        <v>1527</v>
      </c>
    </row>
    <row r="1071" spans="1:2" hidden="1" x14ac:dyDescent="0.25">
      <c r="A1071" s="20" t="s">
        <v>1528</v>
      </c>
      <c r="B1071" s="20" t="s">
        <v>1529</v>
      </c>
    </row>
    <row r="1072" spans="1:2" hidden="1" x14ac:dyDescent="0.25">
      <c r="A1072" s="20" t="s">
        <v>1530</v>
      </c>
      <c r="B1072" s="20" t="s">
        <v>1531</v>
      </c>
    </row>
    <row r="1073" spans="1:2" hidden="1" x14ac:dyDescent="0.25">
      <c r="A1073" s="20" t="s">
        <v>1532</v>
      </c>
      <c r="B1073" s="20" t="s">
        <v>1533</v>
      </c>
    </row>
    <row r="1074" spans="1:2" hidden="1" x14ac:dyDescent="0.25">
      <c r="A1074" s="20" t="s">
        <v>1534</v>
      </c>
      <c r="B1074" s="20" t="s">
        <v>1535</v>
      </c>
    </row>
    <row r="1075" spans="1:2" hidden="1" x14ac:dyDescent="0.25">
      <c r="A1075" s="20" t="s">
        <v>1536</v>
      </c>
      <c r="B1075" s="20" t="s">
        <v>1537</v>
      </c>
    </row>
    <row r="1076" spans="1:2" hidden="1" x14ac:dyDescent="0.25">
      <c r="A1076" s="20" t="s">
        <v>1538</v>
      </c>
      <c r="B1076" s="20" t="s">
        <v>1539</v>
      </c>
    </row>
    <row r="1077" spans="1:2" hidden="1" x14ac:dyDescent="0.25">
      <c r="A1077" s="20" t="s">
        <v>1540</v>
      </c>
      <c r="B1077" s="20" t="s">
        <v>1541</v>
      </c>
    </row>
    <row r="1078" spans="1:2" hidden="1" x14ac:dyDescent="0.25">
      <c r="A1078" s="20" t="s">
        <v>1542</v>
      </c>
      <c r="B1078" s="20" t="s">
        <v>1543</v>
      </c>
    </row>
    <row r="1079" spans="1:2" hidden="1" x14ac:dyDescent="0.25">
      <c r="A1079" s="20" t="s">
        <v>1544</v>
      </c>
      <c r="B1079" s="20" t="s">
        <v>1545</v>
      </c>
    </row>
    <row r="1080" spans="1:2" hidden="1" x14ac:dyDescent="0.25">
      <c r="A1080" s="20" t="s">
        <v>1546</v>
      </c>
      <c r="B1080" s="20" t="s">
        <v>1547</v>
      </c>
    </row>
    <row r="1081" spans="1:2" hidden="1" x14ac:dyDescent="0.25">
      <c r="A1081" s="20" t="s">
        <v>1548</v>
      </c>
      <c r="B1081" s="20" t="s">
        <v>1549</v>
      </c>
    </row>
    <row r="1082" spans="1:2" hidden="1" x14ac:dyDescent="0.25">
      <c r="A1082" s="20" t="s">
        <v>1550</v>
      </c>
      <c r="B1082" s="20" t="s">
        <v>1551</v>
      </c>
    </row>
    <row r="1083" spans="1:2" hidden="1" x14ac:dyDescent="0.25">
      <c r="A1083" s="20" t="s">
        <v>1552</v>
      </c>
      <c r="B1083" s="20" t="s">
        <v>1553</v>
      </c>
    </row>
    <row r="1084" spans="1:2" hidden="1" x14ac:dyDescent="0.25">
      <c r="A1084" s="20" t="s">
        <v>1554</v>
      </c>
      <c r="B1084" s="20" t="s">
        <v>1555</v>
      </c>
    </row>
    <row r="1085" spans="1:2" hidden="1" x14ac:dyDescent="0.25">
      <c r="A1085" s="20" t="s">
        <v>1556</v>
      </c>
      <c r="B1085" s="20" t="s">
        <v>1557</v>
      </c>
    </row>
    <row r="1086" spans="1:2" hidden="1" x14ac:dyDescent="0.25">
      <c r="A1086" s="20" t="s">
        <v>1558</v>
      </c>
      <c r="B1086" s="20" t="s">
        <v>1559</v>
      </c>
    </row>
    <row r="1087" spans="1:2" hidden="1" x14ac:dyDescent="0.25">
      <c r="A1087" s="20" t="s">
        <v>1560</v>
      </c>
      <c r="B1087" s="20" t="s">
        <v>1561</v>
      </c>
    </row>
    <row r="1088" spans="1:2" hidden="1" x14ac:dyDescent="0.25">
      <c r="A1088" s="20" t="s">
        <v>1562</v>
      </c>
      <c r="B1088" s="20" t="s">
        <v>1563</v>
      </c>
    </row>
    <row r="1089" spans="1:2" hidden="1" x14ac:dyDescent="0.25">
      <c r="A1089" s="20" t="s">
        <v>1564</v>
      </c>
      <c r="B1089" s="20" t="s">
        <v>1565</v>
      </c>
    </row>
    <row r="1090" spans="1:2" hidden="1" x14ac:dyDescent="0.25">
      <c r="A1090" s="20" t="s">
        <v>1566</v>
      </c>
      <c r="B1090" s="20" t="s">
        <v>1567</v>
      </c>
    </row>
    <row r="1091" spans="1:2" hidden="1" x14ac:dyDescent="0.25">
      <c r="A1091" s="20" t="s">
        <v>1568</v>
      </c>
      <c r="B1091" s="20" t="s">
        <v>1569</v>
      </c>
    </row>
    <row r="1092" spans="1:2" hidden="1" x14ac:dyDescent="0.25">
      <c r="A1092" s="20" t="s">
        <v>1570</v>
      </c>
      <c r="B1092" s="20" t="s">
        <v>1571</v>
      </c>
    </row>
    <row r="1093" spans="1:2" hidden="1" x14ac:dyDescent="0.25">
      <c r="A1093" s="20" t="s">
        <v>1572</v>
      </c>
      <c r="B1093" s="20" t="s">
        <v>1573</v>
      </c>
    </row>
    <row r="1094" spans="1:2" hidden="1" x14ac:dyDescent="0.25">
      <c r="A1094" s="20" t="s">
        <v>1574</v>
      </c>
      <c r="B1094" s="20" t="s">
        <v>1575</v>
      </c>
    </row>
    <row r="1095" spans="1:2" hidden="1" x14ac:dyDescent="0.25">
      <c r="A1095" s="20" t="s">
        <v>1576</v>
      </c>
      <c r="B1095" s="20" t="s">
        <v>1577</v>
      </c>
    </row>
    <row r="1096" spans="1:2" hidden="1" x14ac:dyDescent="0.25">
      <c r="A1096" s="20" t="s">
        <v>1578</v>
      </c>
      <c r="B1096" s="20" t="s">
        <v>1579</v>
      </c>
    </row>
    <row r="1097" spans="1:2" hidden="1" x14ac:dyDescent="0.25">
      <c r="A1097" s="20" t="s">
        <v>1580</v>
      </c>
      <c r="B1097" s="20" t="s">
        <v>1581</v>
      </c>
    </row>
    <row r="1098" spans="1:2" hidden="1" x14ac:dyDescent="0.25">
      <c r="A1098" s="20" t="s">
        <v>1582</v>
      </c>
      <c r="B1098" s="20" t="s">
        <v>1583</v>
      </c>
    </row>
    <row r="1099" spans="1:2" hidden="1" x14ac:dyDescent="0.25">
      <c r="A1099" s="20" t="s">
        <v>1584</v>
      </c>
      <c r="B1099" s="20" t="s">
        <v>1585</v>
      </c>
    </row>
    <row r="1100" spans="1:2" hidden="1" x14ac:dyDescent="0.25">
      <c r="A1100" s="20" t="s">
        <v>1586</v>
      </c>
      <c r="B1100" s="20" t="s">
        <v>1587</v>
      </c>
    </row>
    <row r="1101" spans="1:2" hidden="1" x14ac:dyDescent="0.25">
      <c r="A1101" s="20" t="s">
        <v>1588</v>
      </c>
      <c r="B1101" s="20" t="s">
        <v>1589</v>
      </c>
    </row>
    <row r="1102" spans="1:2" hidden="1" x14ac:dyDescent="0.25">
      <c r="A1102" s="20" t="s">
        <v>1590</v>
      </c>
      <c r="B1102" s="20" t="s">
        <v>1591</v>
      </c>
    </row>
    <row r="1103" spans="1:2" hidden="1" x14ac:dyDescent="0.25">
      <c r="A1103" s="20" t="s">
        <v>1592</v>
      </c>
      <c r="B1103" s="20" t="s">
        <v>1593</v>
      </c>
    </row>
    <row r="1104" spans="1:2" hidden="1" x14ac:dyDescent="0.25">
      <c r="A1104" s="20" t="s">
        <v>1594</v>
      </c>
      <c r="B1104" s="20" t="s">
        <v>1595</v>
      </c>
    </row>
    <row r="1105" spans="1:2" hidden="1" x14ac:dyDescent="0.25">
      <c r="A1105" s="20" t="s">
        <v>1596</v>
      </c>
      <c r="B1105" s="20" t="s">
        <v>1597</v>
      </c>
    </row>
    <row r="1106" spans="1:2" hidden="1" x14ac:dyDescent="0.25">
      <c r="A1106" s="20" t="s">
        <v>1598</v>
      </c>
      <c r="B1106" s="20" t="s">
        <v>1599</v>
      </c>
    </row>
    <row r="1107" spans="1:2" hidden="1" x14ac:dyDescent="0.25">
      <c r="A1107" s="20" t="s">
        <v>1600</v>
      </c>
      <c r="B1107" s="20" t="s">
        <v>1601</v>
      </c>
    </row>
    <row r="1108" spans="1:2" hidden="1" x14ac:dyDescent="0.25">
      <c r="A1108" s="20" t="s">
        <v>1602</v>
      </c>
      <c r="B1108" s="20" t="s">
        <v>1603</v>
      </c>
    </row>
    <row r="1109" spans="1:2" hidden="1" x14ac:dyDescent="0.25">
      <c r="A1109" s="20" t="s">
        <v>1604</v>
      </c>
      <c r="B1109" s="20" t="s">
        <v>1605</v>
      </c>
    </row>
    <row r="1110" spans="1:2" hidden="1" x14ac:dyDescent="0.25">
      <c r="A1110" s="20" t="s">
        <v>1606</v>
      </c>
      <c r="B1110" s="20" t="s">
        <v>1607</v>
      </c>
    </row>
    <row r="1111" spans="1:2" hidden="1" x14ac:dyDescent="0.25">
      <c r="A1111" s="20" t="s">
        <v>1608</v>
      </c>
      <c r="B1111" s="20" t="s">
        <v>1609</v>
      </c>
    </row>
    <row r="1112" spans="1:2" hidden="1" x14ac:dyDescent="0.25">
      <c r="A1112" s="20" t="s">
        <v>1610</v>
      </c>
      <c r="B1112" s="20" t="s">
        <v>1611</v>
      </c>
    </row>
    <row r="1113" spans="1:2" hidden="1" x14ac:dyDescent="0.25">
      <c r="A1113" s="20" t="s">
        <v>1612</v>
      </c>
      <c r="B1113" s="20" t="s">
        <v>1613</v>
      </c>
    </row>
    <row r="1114" spans="1:2" hidden="1" x14ac:dyDescent="0.25">
      <c r="A1114" s="20" t="s">
        <v>1614</v>
      </c>
      <c r="B1114" s="20" t="s">
        <v>1615</v>
      </c>
    </row>
    <row r="1115" spans="1:2" hidden="1" x14ac:dyDescent="0.25">
      <c r="A1115" s="20" t="s">
        <v>1616</v>
      </c>
      <c r="B1115" s="20" t="s">
        <v>1617</v>
      </c>
    </row>
    <row r="1116" spans="1:2" hidden="1" x14ac:dyDescent="0.25">
      <c r="A1116" s="20" t="s">
        <v>1618</v>
      </c>
      <c r="B1116" s="20" t="s">
        <v>1619</v>
      </c>
    </row>
    <row r="1117" spans="1:2" hidden="1" x14ac:dyDescent="0.25">
      <c r="A1117" s="20" t="s">
        <v>1620</v>
      </c>
      <c r="B1117" s="20" t="s">
        <v>1621</v>
      </c>
    </row>
    <row r="1118" spans="1:2" hidden="1" x14ac:dyDescent="0.25">
      <c r="A1118" s="20" t="s">
        <v>1622</v>
      </c>
      <c r="B1118" s="20" t="s">
        <v>1623</v>
      </c>
    </row>
    <row r="1119" spans="1:2" hidden="1" x14ac:dyDescent="0.25">
      <c r="A1119" s="20" t="s">
        <v>1624</v>
      </c>
      <c r="B1119" s="20" t="s">
        <v>1625</v>
      </c>
    </row>
    <row r="1120" spans="1:2" hidden="1" x14ac:dyDescent="0.25">
      <c r="A1120" s="20" t="s">
        <v>1626</v>
      </c>
      <c r="B1120" s="20" t="s">
        <v>1627</v>
      </c>
    </row>
    <row r="1121" spans="1:2" hidden="1" x14ac:dyDescent="0.25">
      <c r="A1121" s="20" t="s">
        <v>1628</v>
      </c>
      <c r="B1121" s="20" t="s">
        <v>1629</v>
      </c>
    </row>
    <row r="1122" spans="1:2" hidden="1" x14ac:dyDescent="0.25">
      <c r="A1122" s="20" t="s">
        <v>1630</v>
      </c>
      <c r="B1122" s="20" t="s">
        <v>1631</v>
      </c>
    </row>
    <row r="1123" spans="1:2" hidden="1" x14ac:dyDescent="0.25">
      <c r="A1123" s="20" t="s">
        <v>1632</v>
      </c>
      <c r="B1123" s="20" t="s">
        <v>1633</v>
      </c>
    </row>
    <row r="1124" spans="1:2" hidden="1" x14ac:dyDescent="0.25">
      <c r="A1124" s="20" t="s">
        <v>1634</v>
      </c>
      <c r="B1124" s="20" t="s">
        <v>1635</v>
      </c>
    </row>
    <row r="1125" spans="1:2" hidden="1" x14ac:dyDescent="0.25">
      <c r="A1125" s="20" t="s">
        <v>1636</v>
      </c>
      <c r="B1125" s="20" t="s">
        <v>1637</v>
      </c>
    </row>
    <row r="1126" spans="1:2" hidden="1" x14ac:dyDescent="0.25">
      <c r="A1126" s="20" t="s">
        <v>1638</v>
      </c>
      <c r="B1126" s="20" t="s">
        <v>1639</v>
      </c>
    </row>
    <row r="1127" spans="1:2" hidden="1" x14ac:dyDescent="0.25">
      <c r="A1127" s="20" t="s">
        <v>1640</v>
      </c>
      <c r="B1127" s="20" t="s">
        <v>1641</v>
      </c>
    </row>
    <row r="1128" spans="1:2" hidden="1" x14ac:dyDescent="0.25">
      <c r="A1128" s="20" t="s">
        <v>1642</v>
      </c>
      <c r="B1128" s="20" t="s">
        <v>1643</v>
      </c>
    </row>
    <row r="1129" spans="1:2" hidden="1" x14ac:dyDescent="0.25">
      <c r="A1129" s="20" t="s">
        <v>1644</v>
      </c>
      <c r="B1129" s="20" t="s">
        <v>1645</v>
      </c>
    </row>
    <row r="1130" spans="1:2" hidden="1" x14ac:dyDescent="0.25">
      <c r="A1130" s="20" t="s">
        <v>1646</v>
      </c>
      <c r="B1130" s="20" t="s">
        <v>1647</v>
      </c>
    </row>
    <row r="1131" spans="1:2" hidden="1" x14ac:dyDescent="0.25">
      <c r="A1131" s="20" t="s">
        <v>1648</v>
      </c>
      <c r="B1131" s="20" t="s">
        <v>1649</v>
      </c>
    </row>
    <row r="1132" spans="1:2" hidden="1" x14ac:dyDescent="0.25">
      <c r="A1132" s="20" t="s">
        <v>1650</v>
      </c>
      <c r="B1132" s="20" t="s">
        <v>1651</v>
      </c>
    </row>
    <row r="1133" spans="1:2" hidden="1" x14ac:dyDescent="0.25">
      <c r="A1133" s="20" t="s">
        <v>1652</v>
      </c>
      <c r="B1133" s="20" t="s">
        <v>1653</v>
      </c>
    </row>
    <row r="1134" spans="1:2" hidden="1" x14ac:dyDescent="0.25">
      <c r="A1134" s="20" t="s">
        <v>1654</v>
      </c>
      <c r="B1134" s="20" t="s">
        <v>1655</v>
      </c>
    </row>
    <row r="1135" spans="1:2" hidden="1" x14ac:dyDescent="0.25">
      <c r="A1135" s="20" t="s">
        <v>1656</v>
      </c>
      <c r="B1135" s="20" t="s">
        <v>1657</v>
      </c>
    </row>
    <row r="1136" spans="1:2" hidden="1" x14ac:dyDescent="0.25">
      <c r="A1136" s="20" t="s">
        <v>1658</v>
      </c>
      <c r="B1136" s="20" t="s">
        <v>1659</v>
      </c>
    </row>
    <row r="1137" spans="1:2" hidden="1" x14ac:dyDescent="0.25">
      <c r="A1137" s="20" t="s">
        <v>1660</v>
      </c>
      <c r="B1137" s="20" t="s">
        <v>1661</v>
      </c>
    </row>
    <row r="1138" spans="1:2" hidden="1" x14ac:dyDescent="0.25">
      <c r="A1138" s="20" t="s">
        <v>1662</v>
      </c>
      <c r="B1138" s="20" t="s">
        <v>1663</v>
      </c>
    </row>
    <row r="1139" spans="1:2" hidden="1" x14ac:dyDescent="0.25">
      <c r="A1139" s="20" t="s">
        <v>1664</v>
      </c>
      <c r="B1139" s="20" t="s">
        <v>1665</v>
      </c>
    </row>
    <row r="1140" spans="1:2" hidden="1" x14ac:dyDescent="0.25">
      <c r="A1140" s="20" t="s">
        <v>1666</v>
      </c>
      <c r="B1140" s="20" t="s">
        <v>1667</v>
      </c>
    </row>
    <row r="1141" spans="1:2" hidden="1" x14ac:dyDescent="0.25">
      <c r="A1141" s="20" t="s">
        <v>1668</v>
      </c>
      <c r="B1141" s="20" t="s">
        <v>1669</v>
      </c>
    </row>
    <row r="1142" spans="1:2" hidden="1" x14ac:dyDescent="0.25">
      <c r="A1142" s="20" t="s">
        <v>1670</v>
      </c>
      <c r="B1142" s="20" t="s">
        <v>1671</v>
      </c>
    </row>
    <row r="1143" spans="1:2" hidden="1" x14ac:dyDescent="0.25">
      <c r="A1143" s="20" t="s">
        <v>1672</v>
      </c>
      <c r="B1143" s="20" t="s">
        <v>1673</v>
      </c>
    </row>
    <row r="1144" spans="1:2" hidden="1" x14ac:dyDescent="0.25">
      <c r="A1144" s="20" t="s">
        <v>1674</v>
      </c>
      <c r="B1144" s="20" t="s">
        <v>1675</v>
      </c>
    </row>
    <row r="1145" spans="1:2" hidden="1" x14ac:dyDescent="0.25">
      <c r="A1145" s="20" t="s">
        <v>1676</v>
      </c>
      <c r="B1145" s="20" t="s">
        <v>1677</v>
      </c>
    </row>
    <row r="1146" spans="1:2" hidden="1" x14ac:dyDescent="0.25">
      <c r="A1146" s="20" t="s">
        <v>1678</v>
      </c>
      <c r="B1146" s="20" t="s">
        <v>1679</v>
      </c>
    </row>
    <row r="1147" spans="1:2" hidden="1" x14ac:dyDescent="0.25">
      <c r="A1147" s="20" t="s">
        <v>1680</v>
      </c>
      <c r="B1147" s="20" t="s">
        <v>1681</v>
      </c>
    </row>
    <row r="1148" spans="1:2" hidden="1" x14ac:dyDescent="0.25">
      <c r="A1148" s="20" t="s">
        <v>1682</v>
      </c>
      <c r="B1148" s="20" t="s">
        <v>1683</v>
      </c>
    </row>
    <row r="1149" spans="1:2" hidden="1" x14ac:dyDescent="0.25">
      <c r="A1149" s="20" t="s">
        <v>1684</v>
      </c>
      <c r="B1149" s="20" t="s">
        <v>1685</v>
      </c>
    </row>
    <row r="1150" spans="1:2" hidden="1" x14ac:dyDescent="0.25">
      <c r="A1150" s="20" t="s">
        <v>1686</v>
      </c>
      <c r="B1150" s="20" t="s">
        <v>1687</v>
      </c>
    </row>
    <row r="1151" spans="1:2" hidden="1" x14ac:dyDescent="0.25">
      <c r="A1151" s="20" t="s">
        <v>1688</v>
      </c>
      <c r="B1151" s="20" t="s">
        <v>1689</v>
      </c>
    </row>
    <row r="1152" spans="1:2" hidden="1" x14ac:dyDescent="0.25">
      <c r="A1152" s="20" t="s">
        <v>1690</v>
      </c>
      <c r="B1152" s="20" t="s">
        <v>1691</v>
      </c>
    </row>
    <row r="1153" spans="1:2" hidden="1" x14ac:dyDescent="0.25">
      <c r="A1153" s="20" t="s">
        <v>1692</v>
      </c>
      <c r="B1153" s="20" t="s">
        <v>1693</v>
      </c>
    </row>
    <row r="1154" spans="1:2" hidden="1" x14ac:dyDescent="0.25">
      <c r="A1154" s="20" t="s">
        <v>1694</v>
      </c>
      <c r="B1154" s="20" t="s">
        <v>1695</v>
      </c>
    </row>
    <row r="1155" spans="1:2" hidden="1" x14ac:dyDescent="0.25">
      <c r="A1155" s="20" t="s">
        <v>1696</v>
      </c>
      <c r="B1155" s="20" t="s">
        <v>1697</v>
      </c>
    </row>
    <row r="1156" spans="1:2" hidden="1" x14ac:dyDescent="0.25">
      <c r="A1156" s="20" t="s">
        <v>1698</v>
      </c>
      <c r="B1156" s="20" t="s">
        <v>1699</v>
      </c>
    </row>
    <row r="1157" spans="1:2" hidden="1" x14ac:dyDescent="0.25">
      <c r="A1157" s="20" t="s">
        <v>1700</v>
      </c>
      <c r="B1157" s="20" t="s">
        <v>1701</v>
      </c>
    </row>
    <row r="1158" spans="1:2" hidden="1" x14ac:dyDescent="0.25">
      <c r="A1158" s="20" t="s">
        <v>1702</v>
      </c>
      <c r="B1158" s="20" t="s">
        <v>1703</v>
      </c>
    </row>
    <row r="1159" spans="1:2" hidden="1" x14ac:dyDescent="0.25">
      <c r="A1159" s="20" t="s">
        <v>1704</v>
      </c>
      <c r="B1159" s="20" t="s">
        <v>1705</v>
      </c>
    </row>
    <row r="1160" spans="1:2" hidden="1" x14ac:dyDescent="0.25">
      <c r="A1160" s="20" t="s">
        <v>1706</v>
      </c>
      <c r="B1160" s="20" t="s">
        <v>1707</v>
      </c>
    </row>
    <row r="1161" spans="1:2" hidden="1" x14ac:dyDescent="0.25">
      <c r="A1161" s="20" t="s">
        <v>1708</v>
      </c>
      <c r="B1161" s="20" t="s">
        <v>1709</v>
      </c>
    </row>
    <row r="1162" spans="1:2" hidden="1" x14ac:dyDescent="0.25">
      <c r="A1162" s="20" t="s">
        <v>1710</v>
      </c>
      <c r="B1162" s="20" t="s">
        <v>1711</v>
      </c>
    </row>
    <row r="1163" spans="1:2" hidden="1" x14ac:dyDescent="0.25">
      <c r="A1163" s="20" t="s">
        <v>1712</v>
      </c>
      <c r="B1163" s="20" t="s">
        <v>1713</v>
      </c>
    </row>
    <row r="1164" spans="1:2" hidden="1" x14ac:dyDescent="0.25">
      <c r="A1164" s="20" t="s">
        <v>1714</v>
      </c>
      <c r="B1164" s="20" t="s">
        <v>1715</v>
      </c>
    </row>
    <row r="1165" spans="1:2" hidden="1" x14ac:dyDescent="0.25">
      <c r="A1165" s="20" t="s">
        <v>1716</v>
      </c>
      <c r="B1165" s="20" t="s">
        <v>1717</v>
      </c>
    </row>
    <row r="1166" spans="1:2" hidden="1" x14ac:dyDescent="0.25">
      <c r="A1166" s="20" t="s">
        <v>1718</v>
      </c>
      <c r="B1166" s="20" t="s">
        <v>1719</v>
      </c>
    </row>
    <row r="1167" spans="1:2" hidden="1" x14ac:dyDescent="0.25">
      <c r="A1167" s="20" t="s">
        <v>1720</v>
      </c>
      <c r="B1167" s="20" t="s">
        <v>1721</v>
      </c>
    </row>
    <row r="1168" spans="1:2" hidden="1" x14ac:dyDescent="0.25">
      <c r="A1168" s="20" t="s">
        <v>1722</v>
      </c>
      <c r="B1168" s="20" t="s">
        <v>1723</v>
      </c>
    </row>
    <row r="1169" spans="1:2" hidden="1" x14ac:dyDescent="0.25">
      <c r="A1169" s="20" t="s">
        <v>1724</v>
      </c>
      <c r="B1169" s="20" t="s">
        <v>1725</v>
      </c>
    </row>
    <row r="1170" spans="1:2" hidden="1" x14ac:dyDescent="0.25">
      <c r="A1170" s="20" t="s">
        <v>1726</v>
      </c>
      <c r="B1170" s="20" t="s">
        <v>1727</v>
      </c>
    </row>
    <row r="1171" spans="1:2" hidden="1" x14ac:dyDescent="0.25">
      <c r="A1171" s="20" t="s">
        <v>1728</v>
      </c>
      <c r="B1171" s="20" t="s">
        <v>1729</v>
      </c>
    </row>
    <row r="1172" spans="1:2" hidden="1" x14ac:dyDescent="0.25">
      <c r="A1172" s="20" t="s">
        <v>1730</v>
      </c>
      <c r="B1172" s="20" t="s">
        <v>1731</v>
      </c>
    </row>
    <row r="1173" spans="1:2" hidden="1" x14ac:dyDescent="0.25">
      <c r="A1173" s="20" t="s">
        <v>1732</v>
      </c>
      <c r="B1173" s="20" t="s">
        <v>1733</v>
      </c>
    </row>
    <row r="1174" spans="1:2" hidden="1" x14ac:dyDescent="0.25">
      <c r="A1174" s="20" t="s">
        <v>1734</v>
      </c>
      <c r="B1174" s="20" t="s">
        <v>1735</v>
      </c>
    </row>
    <row r="1175" spans="1:2" hidden="1" x14ac:dyDescent="0.25">
      <c r="A1175" s="20" t="s">
        <v>1736</v>
      </c>
      <c r="B1175" s="20" t="s">
        <v>1737</v>
      </c>
    </row>
    <row r="1176" spans="1:2" hidden="1" x14ac:dyDescent="0.25">
      <c r="A1176" s="20" t="s">
        <v>1738</v>
      </c>
      <c r="B1176" s="20" t="s">
        <v>1739</v>
      </c>
    </row>
    <row r="1177" spans="1:2" hidden="1" x14ac:dyDescent="0.25">
      <c r="A1177" s="20" t="s">
        <v>1740</v>
      </c>
      <c r="B1177" s="20" t="s">
        <v>1741</v>
      </c>
    </row>
    <row r="1178" spans="1:2" hidden="1" x14ac:dyDescent="0.25">
      <c r="A1178" s="20" t="s">
        <v>1742</v>
      </c>
      <c r="B1178" s="20" t="s">
        <v>1743</v>
      </c>
    </row>
    <row r="1179" spans="1:2" hidden="1" x14ac:dyDescent="0.25">
      <c r="A1179" s="20" t="s">
        <v>1744</v>
      </c>
      <c r="B1179" s="20" t="s">
        <v>1745</v>
      </c>
    </row>
    <row r="1180" spans="1:2" hidden="1" x14ac:dyDescent="0.25">
      <c r="A1180" s="20" t="s">
        <v>1746</v>
      </c>
      <c r="B1180" s="20" t="s">
        <v>1747</v>
      </c>
    </row>
    <row r="1181" spans="1:2" hidden="1" x14ac:dyDescent="0.25">
      <c r="A1181" s="20" t="s">
        <v>1748</v>
      </c>
      <c r="B1181" s="20" t="s">
        <v>1749</v>
      </c>
    </row>
    <row r="1182" spans="1:2" hidden="1" x14ac:dyDescent="0.25">
      <c r="A1182" s="20" t="s">
        <v>1750</v>
      </c>
      <c r="B1182" s="20" t="s">
        <v>1751</v>
      </c>
    </row>
    <row r="1183" spans="1:2" hidden="1" x14ac:dyDescent="0.25">
      <c r="A1183" s="20" t="s">
        <v>1752</v>
      </c>
      <c r="B1183" s="20" t="s">
        <v>1753</v>
      </c>
    </row>
    <row r="1184" spans="1:2" hidden="1" x14ac:dyDescent="0.25">
      <c r="A1184" s="20" t="s">
        <v>1754</v>
      </c>
      <c r="B1184" s="20" t="s">
        <v>1755</v>
      </c>
    </row>
    <row r="1185" spans="1:2" hidden="1" x14ac:dyDescent="0.25">
      <c r="A1185" s="20" t="s">
        <v>1756</v>
      </c>
      <c r="B1185" s="20" t="s">
        <v>1757</v>
      </c>
    </row>
    <row r="1186" spans="1:2" hidden="1" x14ac:dyDescent="0.25">
      <c r="A1186" s="20" t="s">
        <v>1758</v>
      </c>
      <c r="B1186" s="20" t="s">
        <v>1759</v>
      </c>
    </row>
    <row r="1187" spans="1:2" hidden="1" x14ac:dyDescent="0.25">
      <c r="A1187" s="20" t="s">
        <v>1760</v>
      </c>
      <c r="B1187" s="20" t="s">
        <v>1761</v>
      </c>
    </row>
    <row r="1188" spans="1:2" hidden="1" x14ac:dyDescent="0.25">
      <c r="A1188" s="20" t="s">
        <v>1762</v>
      </c>
      <c r="B1188" s="20" t="s">
        <v>1763</v>
      </c>
    </row>
    <row r="1189" spans="1:2" hidden="1" x14ac:dyDescent="0.25">
      <c r="A1189" s="20" t="s">
        <v>1764</v>
      </c>
      <c r="B1189" s="20" t="s">
        <v>1765</v>
      </c>
    </row>
    <row r="1190" spans="1:2" hidden="1" x14ac:dyDescent="0.25">
      <c r="A1190" s="20" t="s">
        <v>1766</v>
      </c>
      <c r="B1190" s="20" t="s">
        <v>1767</v>
      </c>
    </row>
    <row r="1191" spans="1:2" hidden="1" x14ac:dyDescent="0.25">
      <c r="A1191" s="20" t="s">
        <v>1768</v>
      </c>
      <c r="B1191" s="20" t="s">
        <v>1769</v>
      </c>
    </row>
    <row r="1192" spans="1:2" hidden="1" x14ac:dyDescent="0.25">
      <c r="A1192" s="20" t="s">
        <v>1770</v>
      </c>
      <c r="B1192" s="20" t="s">
        <v>1771</v>
      </c>
    </row>
    <row r="1193" spans="1:2" hidden="1" x14ac:dyDescent="0.25">
      <c r="A1193" s="20" t="s">
        <v>1772</v>
      </c>
      <c r="B1193" s="20" t="s">
        <v>1773</v>
      </c>
    </row>
    <row r="1194" spans="1:2" hidden="1" x14ac:dyDescent="0.25">
      <c r="A1194" s="20" t="s">
        <v>1774</v>
      </c>
      <c r="B1194" s="20" t="s">
        <v>1775</v>
      </c>
    </row>
    <row r="1195" spans="1:2" hidden="1" x14ac:dyDescent="0.25">
      <c r="A1195" s="20" t="s">
        <v>1776</v>
      </c>
      <c r="B1195" s="20" t="s">
        <v>1777</v>
      </c>
    </row>
    <row r="1196" spans="1:2" hidden="1" x14ac:dyDescent="0.25">
      <c r="A1196" s="20" t="s">
        <v>1778</v>
      </c>
      <c r="B1196" s="20" t="s">
        <v>1779</v>
      </c>
    </row>
    <row r="1197" spans="1:2" hidden="1" x14ac:dyDescent="0.25">
      <c r="A1197" s="20" t="s">
        <v>1780</v>
      </c>
      <c r="B1197" s="20" t="s">
        <v>1781</v>
      </c>
    </row>
    <row r="1198" spans="1:2" hidden="1" x14ac:dyDescent="0.25">
      <c r="A1198" s="20" t="s">
        <v>1782</v>
      </c>
      <c r="B1198" s="20" t="s">
        <v>1783</v>
      </c>
    </row>
    <row r="1199" spans="1:2" hidden="1" x14ac:dyDescent="0.25">
      <c r="A1199" s="20" t="s">
        <v>1784</v>
      </c>
      <c r="B1199" s="20" t="s">
        <v>1785</v>
      </c>
    </row>
    <row r="1200" spans="1:2" hidden="1" x14ac:dyDescent="0.25">
      <c r="A1200" s="20" t="s">
        <v>1786</v>
      </c>
      <c r="B1200" s="20" t="s">
        <v>1787</v>
      </c>
    </row>
    <row r="1201" spans="1:2" hidden="1" x14ac:dyDescent="0.25">
      <c r="A1201" s="20" t="s">
        <v>1788</v>
      </c>
      <c r="B1201" s="20" t="s">
        <v>1789</v>
      </c>
    </row>
    <row r="1202" spans="1:2" hidden="1" x14ac:dyDescent="0.25">
      <c r="A1202" s="20" t="s">
        <v>1790</v>
      </c>
      <c r="B1202" s="20" t="s">
        <v>1791</v>
      </c>
    </row>
    <row r="1203" spans="1:2" hidden="1" x14ac:dyDescent="0.25">
      <c r="A1203" s="20" t="s">
        <v>1792</v>
      </c>
      <c r="B1203" s="20" t="s">
        <v>1793</v>
      </c>
    </row>
    <row r="1204" spans="1:2" hidden="1" x14ac:dyDescent="0.25">
      <c r="A1204" s="20" t="s">
        <v>1794</v>
      </c>
      <c r="B1204" s="20" t="s">
        <v>1795</v>
      </c>
    </row>
    <row r="1205" spans="1:2" hidden="1" x14ac:dyDescent="0.25">
      <c r="A1205" s="20" t="s">
        <v>1796</v>
      </c>
      <c r="B1205" s="20" t="s">
        <v>1797</v>
      </c>
    </row>
    <row r="1206" spans="1:2" hidden="1" x14ac:dyDescent="0.25">
      <c r="A1206" s="20" t="s">
        <v>1798</v>
      </c>
      <c r="B1206" s="20" t="s">
        <v>1799</v>
      </c>
    </row>
    <row r="1207" spans="1:2" hidden="1" x14ac:dyDescent="0.25">
      <c r="A1207" s="20" t="s">
        <v>1800</v>
      </c>
      <c r="B1207" s="20" t="s">
        <v>1801</v>
      </c>
    </row>
    <row r="1208" spans="1:2" hidden="1" x14ac:dyDescent="0.25">
      <c r="A1208" s="20" t="s">
        <v>1802</v>
      </c>
      <c r="B1208" s="20" t="s">
        <v>1803</v>
      </c>
    </row>
    <row r="1209" spans="1:2" hidden="1" x14ac:dyDescent="0.25">
      <c r="A1209" s="20" t="s">
        <v>1804</v>
      </c>
      <c r="B1209" s="20" t="s">
        <v>1805</v>
      </c>
    </row>
    <row r="1210" spans="1:2" hidden="1" x14ac:dyDescent="0.25">
      <c r="A1210" s="20" t="s">
        <v>1806</v>
      </c>
      <c r="B1210" s="20" t="s">
        <v>1807</v>
      </c>
    </row>
    <row r="1211" spans="1:2" hidden="1" x14ac:dyDescent="0.25">
      <c r="A1211" s="20" t="s">
        <v>1808</v>
      </c>
      <c r="B1211" s="20" t="s">
        <v>1809</v>
      </c>
    </row>
    <row r="1212" spans="1:2" hidden="1" x14ac:dyDescent="0.25">
      <c r="A1212" s="20" t="s">
        <v>1810</v>
      </c>
      <c r="B1212" s="20" t="s">
        <v>1811</v>
      </c>
    </row>
    <row r="1213" spans="1:2" hidden="1" x14ac:dyDescent="0.25">
      <c r="A1213" s="20" t="s">
        <v>1812</v>
      </c>
      <c r="B1213" s="20" t="s">
        <v>1813</v>
      </c>
    </row>
    <row r="1214" spans="1:2" hidden="1" x14ac:dyDescent="0.25">
      <c r="A1214" s="20" t="s">
        <v>1814</v>
      </c>
      <c r="B1214" s="20" t="s">
        <v>1815</v>
      </c>
    </row>
    <row r="1215" spans="1:2" hidden="1" x14ac:dyDescent="0.25">
      <c r="A1215" s="20" t="s">
        <v>1816</v>
      </c>
      <c r="B1215" s="20" t="s">
        <v>1817</v>
      </c>
    </row>
    <row r="1216" spans="1:2" hidden="1" x14ac:dyDescent="0.25">
      <c r="A1216" s="20" t="s">
        <v>1818</v>
      </c>
      <c r="B1216" s="20" t="s">
        <v>1819</v>
      </c>
    </row>
    <row r="1217" spans="1:2" hidden="1" x14ac:dyDescent="0.25">
      <c r="A1217" s="20" t="s">
        <v>1820</v>
      </c>
      <c r="B1217" s="20" t="s">
        <v>1821</v>
      </c>
    </row>
    <row r="1218" spans="1:2" hidden="1" x14ac:dyDescent="0.25">
      <c r="A1218" s="20" t="s">
        <v>1822</v>
      </c>
      <c r="B1218" s="20" t="s">
        <v>1823</v>
      </c>
    </row>
    <row r="1219" spans="1:2" hidden="1" x14ac:dyDescent="0.25">
      <c r="A1219" s="20" t="s">
        <v>1824</v>
      </c>
      <c r="B1219" s="20" t="s">
        <v>1825</v>
      </c>
    </row>
    <row r="1220" spans="1:2" hidden="1" x14ac:dyDescent="0.25">
      <c r="A1220" s="20" t="s">
        <v>1826</v>
      </c>
      <c r="B1220" s="20" t="s">
        <v>1827</v>
      </c>
    </row>
    <row r="1221" spans="1:2" hidden="1" x14ac:dyDescent="0.25">
      <c r="A1221" s="20" t="s">
        <v>1828</v>
      </c>
      <c r="B1221" s="20" t="s">
        <v>1829</v>
      </c>
    </row>
    <row r="1222" spans="1:2" hidden="1" x14ac:dyDescent="0.25">
      <c r="A1222" s="20" t="s">
        <v>1830</v>
      </c>
      <c r="B1222" s="20" t="s">
        <v>1831</v>
      </c>
    </row>
    <row r="1223" spans="1:2" hidden="1" x14ac:dyDescent="0.25">
      <c r="A1223" s="20" t="s">
        <v>1832</v>
      </c>
      <c r="B1223" s="20" t="s">
        <v>1833</v>
      </c>
    </row>
    <row r="1224" spans="1:2" hidden="1" x14ac:dyDescent="0.25">
      <c r="A1224" s="20" t="s">
        <v>1834</v>
      </c>
      <c r="B1224" s="20" t="s">
        <v>1835</v>
      </c>
    </row>
    <row r="1225" spans="1:2" hidden="1" x14ac:dyDescent="0.25">
      <c r="A1225" s="20" t="s">
        <v>1836</v>
      </c>
      <c r="B1225" s="20" t="s">
        <v>1837</v>
      </c>
    </row>
    <row r="1226" spans="1:2" hidden="1" x14ac:dyDescent="0.25">
      <c r="A1226" s="20" t="s">
        <v>1838</v>
      </c>
      <c r="B1226" s="20" t="s">
        <v>1839</v>
      </c>
    </row>
    <row r="1227" spans="1:2" hidden="1" x14ac:dyDescent="0.25">
      <c r="A1227" s="20" t="s">
        <v>1840</v>
      </c>
      <c r="B1227" s="20" t="s">
        <v>1841</v>
      </c>
    </row>
    <row r="1228" spans="1:2" hidden="1" x14ac:dyDescent="0.25">
      <c r="A1228" s="20" t="s">
        <v>1842</v>
      </c>
      <c r="B1228" s="20" t="s">
        <v>1843</v>
      </c>
    </row>
    <row r="1229" spans="1:2" hidden="1" x14ac:dyDescent="0.25">
      <c r="A1229" s="20" t="s">
        <v>1844</v>
      </c>
      <c r="B1229" s="20" t="s">
        <v>1845</v>
      </c>
    </row>
    <row r="1230" spans="1:2" hidden="1" x14ac:dyDescent="0.25">
      <c r="A1230" s="20" t="s">
        <v>1846</v>
      </c>
      <c r="B1230" s="20" t="s">
        <v>1847</v>
      </c>
    </row>
    <row r="1231" spans="1:2" hidden="1" x14ac:dyDescent="0.25">
      <c r="A1231" s="20" t="s">
        <v>1848</v>
      </c>
      <c r="B1231" s="20" t="s">
        <v>1849</v>
      </c>
    </row>
    <row r="1232" spans="1:2" hidden="1" x14ac:dyDescent="0.25">
      <c r="A1232" s="20" t="s">
        <v>1850</v>
      </c>
      <c r="B1232" s="20" t="s">
        <v>1851</v>
      </c>
    </row>
    <row r="1233" spans="1:2" hidden="1" x14ac:dyDescent="0.25">
      <c r="A1233" s="20" t="s">
        <v>1852</v>
      </c>
      <c r="B1233" s="20" t="s">
        <v>1853</v>
      </c>
    </row>
    <row r="1234" spans="1:2" hidden="1" x14ac:dyDescent="0.25">
      <c r="A1234" s="20" t="s">
        <v>1854</v>
      </c>
      <c r="B1234" s="20" t="s">
        <v>1855</v>
      </c>
    </row>
    <row r="1235" spans="1:2" hidden="1" x14ac:dyDescent="0.25">
      <c r="A1235" s="20" t="s">
        <v>1856</v>
      </c>
      <c r="B1235" s="20" t="s">
        <v>1857</v>
      </c>
    </row>
    <row r="1236" spans="1:2" hidden="1" x14ac:dyDescent="0.25">
      <c r="A1236" s="20" t="s">
        <v>1858</v>
      </c>
      <c r="B1236" s="20" t="s">
        <v>1859</v>
      </c>
    </row>
    <row r="1237" spans="1:2" hidden="1" x14ac:dyDescent="0.25">
      <c r="A1237" s="20" t="s">
        <v>1860</v>
      </c>
      <c r="B1237" s="20" t="s">
        <v>1861</v>
      </c>
    </row>
    <row r="1238" spans="1:2" hidden="1" x14ac:dyDescent="0.25">
      <c r="A1238" s="20" t="s">
        <v>1862</v>
      </c>
      <c r="B1238" s="20" t="s">
        <v>1863</v>
      </c>
    </row>
    <row r="1239" spans="1:2" hidden="1" x14ac:dyDescent="0.25">
      <c r="A1239" s="20" t="s">
        <v>1864</v>
      </c>
      <c r="B1239" s="20" t="s">
        <v>1865</v>
      </c>
    </row>
    <row r="1240" spans="1:2" hidden="1" x14ac:dyDescent="0.25">
      <c r="A1240" s="20" t="s">
        <v>1866</v>
      </c>
      <c r="B1240" s="20" t="s">
        <v>1863</v>
      </c>
    </row>
    <row r="1241" spans="1:2" hidden="1" x14ac:dyDescent="0.25">
      <c r="A1241" s="20" t="s">
        <v>1867</v>
      </c>
      <c r="B1241" s="20" t="s">
        <v>1868</v>
      </c>
    </row>
    <row r="1242" spans="1:2" hidden="1" x14ac:dyDescent="0.25">
      <c r="A1242" s="20" t="s">
        <v>1869</v>
      </c>
      <c r="B1242" s="20" t="s">
        <v>1870</v>
      </c>
    </row>
    <row r="1243" spans="1:2" hidden="1" x14ac:dyDescent="0.25">
      <c r="A1243" s="20" t="s">
        <v>1871</v>
      </c>
      <c r="B1243" s="20" t="s">
        <v>1872</v>
      </c>
    </row>
    <row r="1244" spans="1:2" hidden="1" x14ac:dyDescent="0.25">
      <c r="A1244" s="20" t="s">
        <v>1873</v>
      </c>
      <c r="B1244" s="20" t="s">
        <v>1874</v>
      </c>
    </row>
    <row r="1245" spans="1:2" hidden="1" x14ac:dyDescent="0.25">
      <c r="A1245" s="20" t="s">
        <v>1875</v>
      </c>
      <c r="B1245" s="20" t="s">
        <v>1876</v>
      </c>
    </row>
    <row r="1246" spans="1:2" hidden="1" x14ac:dyDescent="0.25">
      <c r="A1246" s="20" t="s">
        <v>1877</v>
      </c>
      <c r="B1246" s="20" t="s">
        <v>1878</v>
      </c>
    </row>
    <row r="1247" spans="1:2" hidden="1" x14ac:dyDescent="0.25">
      <c r="A1247" s="20" t="s">
        <v>1879</v>
      </c>
      <c r="B1247" s="20" t="s">
        <v>1880</v>
      </c>
    </row>
    <row r="1248" spans="1:2" hidden="1" x14ac:dyDescent="0.25">
      <c r="A1248" s="20" t="s">
        <v>1881</v>
      </c>
      <c r="B1248" s="20" t="s">
        <v>1882</v>
      </c>
    </row>
    <row r="1249" spans="1:2" hidden="1" x14ac:dyDescent="0.25">
      <c r="A1249" s="20" t="s">
        <v>1883</v>
      </c>
      <c r="B1249" s="20" t="s">
        <v>1884</v>
      </c>
    </row>
    <row r="1250" spans="1:2" hidden="1" x14ac:dyDescent="0.25">
      <c r="A1250" s="20" t="s">
        <v>1885</v>
      </c>
      <c r="B1250" s="20" t="s">
        <v>1884</v>
      </c>
    </row>
    <row r="1251" spans="1:2" hidden="1" x14ac:dyDescent="0.25">
      <c r="A1251" s="20" t="s">
        <v>1886</v>
      </c>
      <c r="B1251" s="20" t="s">
        <v>1887</v>
      </c>
    </row>
    <row r="1252" spans="1:2" hidden="1" x14ac:dyDescent="0.25">
      <c r="A1252" s="20" t="s">
        <v>1888</v>
      </c>
      <c r="B1252" s="20" t="s">
        <v>1889</v>
      </c>
    </row>
    <row r="1253" spans="1:2" hidden="1" x14ac:dyDescent="0.25">
      <c r="A1253" s="20" t="s">
        <v>1890</v>
      </c>
      <c r="B1253" s="20" t="s">
        <v>1884</v>
      </c>
    </row>
    <row r="1254" spans="1:2" hidden="1" x14ac:dyDescent="0.25">
      <c r="A1254" s="20" t="s">
        <v>1891</v>
      </c>
      <c r="B1254" s="20" t="s">
        <v>1884</v>
      </c>
    </row>
    <row r="1255" spans="1:2" hidden="1" x14ac:dyDescent="0.25">
      <c r="A1255" s="20" t="s">
        <v>1892</v>
      </c>
      <c r="B1255" s="20" t="s">
        <v>1884</v>
      </c>
    </row>
    <row r="1256" spans="1:2" hidden="1" x14ac:dyDescent="0.25">
      <c r="A1256" s="20" t="s">
        <v>1893</v>
      </c>
      <c r="B1256" s="20" t="s">
        <v>1884</v>
      </c>
    </row>
    <row r="1257" spans="1:2" hidden="1" x14ac:dyDescent="0.25">
      <c r="A1257" s="20" t="s">
        <v>1894</v>
      </c>
      <c r="B1257" s="20" t="s">
        <v>1884</v>
      </c>
    </row>
    <row r="1258" spans="1:2" hidden="1" x14ac:dyDescent="0.25">
      <c r="A1258" s="20" t="s">
        <v>1895</v>
      </c>
      <c r="B1258" s="20" t="s">
        <v>1884</v>
      </c>
    </row>
    <row r="1259" spans="1:2" hidden="1" x14ac:dyDescent="0.25">
      <c r="A1259" s="20" t="s">
        <v>1896</v>
      </c>
      <c r="B1259" s="20" t="s">
        <v>1884</v>
      </c>
    </row>
    <row r="1260" spans="1:2" hidden="1" x14ac:dyDescent="0.25">
      <c r="A1260" s="20" t="s">
        <v>1897</v>
      </c>
      <c r="B1260" s="20" t="s">
        <v>1898</v>
      </c>
    </row>
    <row r="1261" spans="1:2" hidden="1" x14ac:dyDescent="0.25">
      <c r="A1261" s="20" t="s">
        <v>1899</v>
      </c>
      <c r="B1261" s="20" t="s">
        <v>1900</v>
      </c>
    </row>
    <row r="1262" spans="1:2" hidden="1" x14ac:dyDescent="0.25">
      <c r="A1262" s="20" t="s">
        <v>1901</v>
      </c>
      <c r="B1262" s="20" t="s">
        <v>1902</v>
      </c>
    </row>
    <row r="1263" spans="1:2" hidden="1" x14ac:dyDescent="0.25">
      <c r="A1263" s="20" t="s">
        <v>1903</v>
      </c>
      <c r="B1263" s="20" t="s">
        <v>1904</v>
      </c>
    </row>
    <row r="1264" spans="1:2" hidden="1" x14ac:dyDescent="0.25">
      <c r="A1264" s="20" t="s">
        <v>1905</v>
      </c>
      <c r="B1264" s="20" t="s">
        <v>1906</v>
      </c>
    </row>
    <row r="1265" spans="1:2" hidden="1" x14ac:dyDescent="0.25">
      <c r="A1265" s="20" t="s">
        <v>1907</v>
      </c>
      <c r="B1265" s="20" t="s">
        <v>1908</v>
      </c>
    </row>
    <row r="1266" spans="1:2" hidden="1" x14ac:dyDescent="0.25">
      <c r="A1266" s="20" t="s">
        <v>1909</v>
      </c>
      <c r="B1266" s="20" t="s">
        <v>1910</v>
      </c>
    </row>
    <row r="1267" spans="1:2" hidden="1" x14ac:dyDescent="0.25">
      <c r="A1267" s="20" t="s">
        <v>1911</v>
      </c>
      <c r="B1267" s="20" t="s">
        <v>1912</v>
      </c>
    </row>
    <row r="1268" spans="1:2" hidden="1" x14ac:dyDescent="0.25">
      <c r="A1268" s="20" t="s">
        <v>1913</v>
      </c>
      <c r="B1268" s="20" t="s">
        <v>1914</v>
      </c>
    </row>
    <row r="1269" spans="1:2" hidden="1" x14ac:dyDescent="0.25">
      <c r="A1269" s="20" t="s">
        <v>1915</v>
      </c>
      <c r="B1269" s="20" t="s">
        <v>1916</v>
      </c>
    </row>
    <row r="1270" spans="1:2" hidden="1" x14ac:dyDescent="0.25">
      <c r="A1270" s="20" t="s">
        <v>1917</v>
      </c>
      <c r="B1270" s="20" t="s">
        <v>1918</v>
      </c>
    </row>
    <row r="1271" spans="1:2" hidden="1" x14ac:dyDescent="0.25">
      <c r="A1271" s="20" t="s">
        <v>1919</v>
      </c>
      <c r="B1271" s="20" t="s">
        <v>1920</v>
      </c>
    </row>
    <row r="1272" spans="1:2" hidden="1" x14ac:dyDescent="0.25">
      <c r="A1272" s="20" t="s">
        <v>1921</v>
      </c>
      <c r="B1272" s="20" t="s">
        <v>1922</v>
      </c>
    </row>
    <row r="1273" spans="1:2" hidden="1" x14ac:dyDescent="0.25">
      <c r="A1273" s="20" t="s">
        <v>1923</v>
      </c>
      <c r="B1273" s="20" t="s">
        <v>1924</v>
      </c>
    </row>
    <row r="1274" spans="1:2" hidden="1" x14ac:dyDescent="0.25">
      <c r="A1274" s="20" t="s">
        <v>1925</v>
      </c>
      <c r="B1274" s="20" t="s">
        <v>1926</v>
      </c>
    </row>
    <row r="1275" spans="1:2" hidden="1" x14ac:dyDescent="0.25">
      <c r="A1275" s="20" t="s">
        <v>1927</v>
      </c>
      <c r="B1275" s="20" t="s">
        <v>1928</v>
      </c>
    </row>
    <row r="1276" spans="1:2" hidden="1" x14ac:dyDescent="0.25">
      <c r="A1276" s="20" t="s">
        <v>1929</v>
      </c>
      <c r="B1276" s="20" t="s">
        <v>1930</v>
      </c>
    </row>
    <row r="1277" spans="1:2" hidden="1" x14ac:dyDescent="0.25">
      <c r="A1277" s="20" t="s">
        <v>1931</v>
      </c>
      <c r="B1277" s="20" t="s">
        <v>1932</v>
      </c>
    </row>
    <row r="1278" spans="1:2" hidden="1" x14ac:dyDescent="0.25">
      <c r="A1278" s="20" t="s">
        <v>1933</v>
      </c>
      <c r="B1278" s="20" t="s">
        <v>1934</v>
      </c>
    </row>
    <row r="1279" spans="1:2" hidden="1" x14ac:dyDescent="0.25">
      <c r="A1279" s="20" t="s">
        <v>1935</v>
      </c>
      <c r="B1279" s="20" t="s">
        <v>1936</v>
      </c>
    </row>
    <row r="1280" spans="1:2" hidden="1" x14ac:dyDescent="0.25">
      <c r="A1280" s="20" t="s">
        <v>1937</v>
      </c>
      <c r="B1280" s="20" t="s">
        <v>1938</v>
      </c>
    </row>
    <row r="1281" spans="1:2" hidden="1" x14ac:dyDescent="0.25">
      <c r="A1281" s="20" t="s">
        <v>1939</v>
      </c>
      <c r="B1281" s="20" t="s">
        <v>1940</v>
      </c>
    </row>
    <row r="1282" spans="1:2" hidden="1" x14ac:dyDescent="0.25">
      <c r="A1282" s="20" t="s">
        <v>1941</v>
      </c>
      <c r="B1282" s="20" t="s">
        <v>1942</v>
      </c>
    </row>
    <row r="1283" spans="1:2" hidden="1" x14ac:dyDescent="0.25">
      <c r="A1283" s="20" t="s">
        <v>1943</v>
      </c>
      <c r="B1283" s="20" t="s">
        <v>1944</v>
      </c>
    </row>
    <row r="1284" spans="1:2" hidden="1" x14ac:dyDescent="0.25">
      <c r="A1284" s="20" t="s">
        <v>1945</v>
      </c>
      <c r="B1284" s="20" t="s">
        <v>1946</v>
      </c>
    </row>
    <row r="1285" spans="1:2" hidden="1" x14ac:dyDescent="0.25">
      <c r="A1285" s="20" t="s">
        <v>1947</v>
      </c>
      <c r="B1285" s="20" t="s">
        <v>1948</v>
      </c>
    </row>
    <row r="1286" spans="1:2" hidden="1" x14ac:dyDescent="0.25">
      <c r="A1286" s="20" t="s">
        <v>1949</v>
      </c>
      <c r="B1286" s="20" t="s">
        <v>1950</v>
      </c>
    </row>
    <row r="1287" spans="1:2" hidden="1" x14ac:dyDescent="0.25">
      <c r="A1287" s="20" t="s">
        <v>1951</v>
      </c>
      <c r="B1287" s="20" t="s">
        <v>1952</v>
      </c>
    </row>
    <row r="1288" spans="1:2" hidden="1" x14ac:dyDescent="0.25">
      <c r="A1288" s="20" t="s">
        <v>1953</v>
      </c>
      <c r="B1288" s="20" t="s">
        <v>1954</v>
      </c>
    </row>
    <row r="1289" spans="1:2" hidden="1" x14ac:dyDescent="0.25">
      <c r="A1289" s="20" t="s">
        <v>1955</v>
      </c>
      <c r="B1289" s="20" t="s">
        <v>1956</v>
      </c>
    </row>
    <row r="1290" spans="1:2" hidden="1" x14ac:dyDescent="0.25">
      <c r="A1290" s="20" t="s">
        <v>1957</v>
      </c>
      <c r="B1290" s="20" t="s">
        <v>1958</v>
      </c>
    </row>
    <row r="1291" spans="1:2" hidden="1" x14ac:dyDescent="0.25">
      <c r="A1291" s="20" t="s">
        <v>1959</v>
      </c>
      <c r="B1291" s="20" t="s">
        <v>1960</v>
      </c>
    </row>
    <row r="1292" spans="1:2" hidden="1" x14ac:dyDescent="0.25">
      <c r="A1292" s="20" t="s">
        <v>1961</v>
      </c>
      <c r="B1292" s="20" t="s">
        <v>1962</v>
      </c>
    </row>
    <row r="1293" spans="1:2" hidden="1" x14ac:dyDescent="0.25">
      <c r="A1293" s="20" t="s">
        <v>1963</v>
      </c>
      <c r="B1293" s="20" t="s">
        <v>1964</v>
      </c>
    </row>
    <row r="1294" spans="1:2" hidden="1" x14ac:dyDescent="0.25">
      <c r="A1294" s="20" t="s">
        <v>1965</v>
      </c>
      <c r="B1294" s="20" t="s">
        <v>1966</v>
      </c>
    </row>
    <row r="1295" spans="1:2" hidden="1" x14ac:dyDescent="0.25">
      <c r="A1295" s="20" t="s">
        <v>1967</v>
      </c>
      <c r="B1295" s="20" t="s">
        <v>1968</v>
      </c>
    </row>
    <row r="1296" spans="1:2" hidden="1" x14ac:dyDescent="0.25">
      <c r="A1296" s="20" t="s">
        <v>1969</v>
      </c>
      <c r="B1296" s="20" t="s">
        <v>1970</v>
      </c>
    </row>
    <row r="1297" spans="1:2" hidden="1" x14ac:dyDescent="0.25">
      <c r="A1297" s="20" t="s">
        <v>1971</v>
      </c>
      <c r="B1297" s="20" t="s">
        <v>1972</v>
      </c>
    </row>
    <row r="1298" spans="1:2" hidden="1" x14ac:dyDescent="0.25">
      <c r="A1298" s="20" t="s">
        <v>1973</v>
      </c>
      <c r="B1298" s="20" t="s">
        <v>1974</v>
      </c>
    </row>
    <row r="1299" spans="1:2" hidden="1" x14ac:dyDescent="0.25">
      <c r="A1299" s="20" t="s">
        <v>1975</v>
      </c>
      <c r="B1299" s="20" t="s">
        <v>1976</v>
      </c>
    </row>
    <row r="1300" spans="1:2" hidden="1" x14ac:dyDescent="0.25">
      <c r="A1300" s="20" t="s">
        <v>1977</v>
      </c>
      <c r="B1300" s="20" t="s">
        <v>1978</v>
      </c>
    </row>
    <row r="1301" spans="1:2" hidden="1" x14ac:dyDescent="0.25">
      <c r="A1301" s="20" t="s">
        <v>1979</v>
      </c>
      <c r="B1301" s="20" t="s">
        <v>1980</v>
      </c>
    </row>
    <row r="1302" spans="1:2" hidden="1" x14ac:dyDescent="0.25">
      <c r="A1302" s="20" t="s">
        <v>1981</v>
      </c>
      <c r="B1302" s="20" t="s">
        <v>1982</v>
      </c>
    </row>
    <row r="1303" spans="1:2" hidden="1" x14ac:dyDescent="0.25">
      <c r="A1303" s="20" t="s">
        <v>1983</v>
      </c>
      <c r="B1303" s="20" t="s">
        <v>1984</v>
      </c>
    </row>
    <row r="1304" spans="1:2" hidden="1" x14ac:dyDescent="0.25">
      <c r="A1304" s="20" t="s">
        <v>1985</v>
      </c>
      <c r="B1304" s="20" t="s">
        <v>1986</v>
      </c>
    </row>
    <row r="1305" spans="1:2" hidden="1" x14ac:dyDescent="0.25">
      <c r="A1305" s="20" t="s">
        <v>1987</v>
      </c>
      <c r="B1305" s="20" t="s">
        <v>1988</v>
      </c>
    </row>
    <row r="1306" spans="1:2" hidden="1" x14ac:dyDescent="0.25">
      <c r="A1306" s="20" t="s">
        <v>1989</v>
      </c>
      <c r="B1306" s="20" t="s">
        <v>1990</v>
      </c>
    </row>
    <row r="1307" spans="1:2" hidden="1" x14ac:dyDescent="0.25">
      <c r="A1307" s="20" t="s">
        <v>1991</v>
      </c>
      <c r="B1307" s="20" t="s">
        <v>1992</v>
      </c>
    </row>
    <row r="1308" spans="1:2" hidden="1" x14ac:dyDescent="0.25">
      <c r="A1308" s="20" t="s">
        <v>1993</v>
      </c>
      <c r="B1308" s="20" t="s">
        <v>1994</v>
      </c>
    </row>
    <row r="1309" spans="1:2" hidden="1" x14ac:dyDescent="0.25">
      <c r="A1309" s="20" t="s">
        <v>1995</v>
      </c>
      <c r="B1309" s="20" t="s">
        <v>1994</v>
      </c>
    </row>
    <row r="1310" spans="1:2" hidden="1" x14ac:dyDescent="0.25">
      <c r="A1310" s="20" t="s">
        <v>1996</v>
      </c>
      <c r="B1310" s="20" t="s">
        <v>1997</v>
      </c>
    </row>
    <row r="1311" spans="1:2" hidden="1" x14ac:dyDescent="0.25">
      <c r="A1311" s="20" t="s">
        <v>1998</v>
      </c>
      <c r="B1311" s="20" t="s">
        <v>1999</v>
      </c>
    </row>
    <row r="1312" spans="1:2" hidden="1" x14ac:dyDescent="0.25">
      <c r="A1312" s="20" t="s">
        <v>2000</v>
      </c>
      <c r="B1312" s="20" t="s">
        <v>2001</v>
      </c>
    </row>
    <row r="1313" spans="1:2" hidden="1" x14ac:dyDescent="0.25">
      <c r="A1313" s="20" t="s">
        <v>2002</v>
      </c>
      <c r="B1313" s="20" t="s">
        <v>2003</v>
      </c>
    </row>
    <row r="1314" spans="1:2" hidden="1" x14ac:dyDescent="0.25">
      <c r="A1314" s="20" t="s">
        <v>2004</v>
      </c>
      <c r="B1314" s="20" t="s">
        <v>2005</v>
      </c>
    </row>
    <row r="1315" spans="1:2" hidden="1" x14ac:dyDescent="0.25">
      <c r="A1315" s="20" t="s">
        <v>2006</v>
      </c>
      <c r="B1315" s="20" t="s">
        <v>2007</v>
      </c>
    </row>
    <row r="1316" spans="1:2" hidden="1" x14ac:dyDescent="0.25">
      <c r="A1316" s="20" t="s">
        <v>2008</v>
      </c>
      <c r="B1316" s="20" t="s">
        <v>2009</v>
      </c>
    </row>
    <row r="1317" spans="1:2" hidden="1" x14ac:dyDescent="0.25">
      <c r="A1317" s="20" t="s">
        <v>2010</v>
      </c>
      <c r="B1317" s="20" t="s">
        <v>2011</v>
      </c>
    </row>
    <row r="1318" spans="1:2" hidden="1" x14ac:dyDescent="0.25">
      <c r="A1318" s="20" t="s">
        <v>2012</v>
      </c>
      <c r="B1318" s="20" t="s">
        <v>2013</v>
      </c>
    </row>
    <row r="1319" spans="1:2" hidden="1" x14ac:dyDescent="0.25">
      <c r="A1319" s="20" t="s">
        <v>2014</v>
      </c>
      <c r="B1319" s="20" t="s">
        <v>2015</v>
      </c>
    </row>
    <row r="1320" spans="1:2" hidden="1" x14ac:dyDescent="0.25">
      <c r="A1320" s="20" t="s">
        <v>2016</v>
      </c>
      <c r="B1320" s="20" t="s">
        <v>2017</v>
      </c>
    </row>
    <row r="1321" spans="1:2" hidden="1" x14ac:dyDescent="0.25">
      <c r="A1321" s="20" t="s">
        <v>2018</v>
      </c>
      <c r="B1321" s="20" t="s">
        <v>2019</v>
      </c>
    </row>
    <row r="1322" spans="1:2" hidden="1" x14ac:dyDescent="0.25">
      <c r="A1322" s="20" t="s">
        <v>2020</v>
      </c>
      <c r="B1322" s="20" t="s">
        <v>2021</v>
      </c>
    </row>
    <row r="1323" spans="1:2" hidden="1" x14ac:dyDescent="0.25">
      <c r="A1323" s="20" t="s">
        <v>2022</v>
      </c>
      <c r="B1323" s="20" t="s">
        <v>2023</v>
      </c>
    </row>
    <row r="1324" spans="1:2" hidden="1" x14ac:dyDescent="0.25">
      <c r="A1324" s="20" t="s">
        <v>2024</v>
      </c>
      <c r="B1324" s="20" t="s">
        <v>2025</v>
      </c>
    </row>
    <row r="1325" spans="1:2" hidden="1" x14ac:dyDescent="0.25">
      <c r="A1325" s="20" t="s">
        <v>2026</v>
      </c>
      <c r="B1325" s="20" t="s">
        <v>2027</v>
      </c>
    </row>
    <row r="1326" spans="1:2" hidden="1" x14ac:dyDescent="0.25">
      <c r="A1326" s="20" t="s">
        <v>2028</v>
      </c>
      <c r="B1326" s="20" t="s">
        <v>2029</v>
      </c>
    </row>
    <row r="1327" spans="1:2" hidden="1" x14ac:dyDescent="0.25">
      <c r="A1327" s="20" t="s">
        <v>2030</v>
      </c>
      <c r="B1327" s="20" t="s">
        <v>2031</v>
      </c>
    </row>
    <row r="1328" spans="1:2" hidden="1" x14ac:dyDescent="0.25">
      <c r="A1328" s="20" t="s">
        <v>2032</v>
      </c>
      <c r="B1328" s="20" t="s">
        <v>2033</v>
      </c>
    </row>
    <row r="1329" spans="1:2" hidden="1" x14ac:dyDescent="0.25">
      <c r="A1329" s="20" t="s">
        <v>2034</v>
      </c>
      <c r="B1329" s="20" t="s">
        <v>2035</v>
      </c>
    </row>
    <row r="1330" spans="1:2" hidden="1" x14ac:dyDescent="0.25">
      <c r="A1330" s="20" t="s">
        <v>2036</v>
      </c>
      <c r="B1330" s="20" t="s">
        <v>2037</v>
      </c>
    </row>
    <row r="1331" spans="1:2" hidden="1" x14ac:dyDescent="0.25">
      <c r="A1331" s="20" t="s">
        <v>2038</v>
      </c>
      <c r="B1331" s="20" t="s">
        <v>2039</v>
      </c>
    </row>
    <row r="1332" spans="1:2" hidden="1" x14ac:dyDescent="0.25">
      <c r="A1332" s="20" t="s">
        <v>2040</v>
      </c>
      <c r="B1332" s="20" t="s">
        <v>2041</v>
      </c>
    </row>
    <row r="1333" spans="1:2" hidden="1" x14ac:dyDescent="0.25">
      <c r="A1333" s="20" t="s">
        <v>2042</v>
      </c>
      <c r="B1333" s="20" t="s">
        <v>2043</v>
      </c>
    </row>
    <row r="1334" spans="1:2" hidden="1" x14ac:dyDescent="0.25">
      <c r="A1334" s="20" t="s">
        <v>2044</v>
      </c>
      <c r="B1334" s="20" t="s">
        <v>2045</v>
      </c>
    </row>
    <row r="1335" spans="1:2" hidden="1" x14ac:dyDescent="0.25">
      <c r="A1335" s="20" t="s">
        <v>2046</v>
      </c>
      <c r="B1335" s="20" t="s">
        <v>2047</v>
      </c>
    </row>
    <row r="1336" spans="1:2" hidden="1" x14ac:dyDescent="0.25">
      <c r="A1336" s="20" t="s">
        <v>2048</v>
      </c>
      <c r="B1336" s="20" t="s">
        <v>2049</v>
      </c>
    </row>
    <row r="1337" spans="1:2" hidden="1" x14ac:dyDescent="0.25">
      <c r="A1337" s="20" t="s">
        <v>2050</v>
      </c>
      <c r="B1337" s="20" t="s">
        <v>2051</v>
      </c>
    </row>
    <row r="1338" spans="1:2" hidden="1" x14ac:dyDescent="0.25">
      <c r="A1338" s="20" t="s">
        <v>2052</v>
      </c>
      <c r="B1338" s="20" t="s">
        <v>2053</v>
      </c>
    </row>
    <row r="1339" spans="1:2" hidden="1" x14ac:dyDescent="0.25">
      <c r="A1339" s="20" t="s">
        <v>2054</v>
      </c>
      <c r="B1339" s="20" t="s">
        <v>2055</v>
      </c>
    </row>
    <row r="1340" spans="1:2" hidden="1" x14ac:dyDescent="0.25">
      <c r="A1340" s="20" t="s">
        <v>2056</v>
      </c>
      <c r="B1340" s="20" t="s">
        <v>2057</v>
      </c>
    </row>
    <row r="1341" spans="1:2" hidden="1" x14ac:dyDescent="0.25">
      <c r="A1341" s="20" t="s">
        <v>2058</v>
      </c>
      <c r="B1341" s="20" t="s">
        <v>2059</v>
      </c>
    </row>
    <row r="1342" spans="1:2" hidden="1" x14ac:dyDescent="0.25">
      <c r="A1342" s="20" t="s">
        <v>2060</v>
      </c>
      <c r="B1342" s="20" t="s">
        <v>2061</v>
      </c>
    </row>
    <row r="1343" spans="1:2" hidden="1" x14ac:dyDescent="0.25">
      <c r="A1343" s="20" t="s">
        <v>2062</v>
      </c>
      <c r="B1343" s="20" t="s">
        <v>2063</v>
      </c>
    </row>
    <row r="1344" spans="1:2" hidden="1" x14ac:dyDescent="0.25">
      <c r="A1344" s="20" t="s">
        <v>2064</v>
      </c>
      <c r="B1344" s="20" t="s">
        <v>2065</v>
      </c>
    </row>
    <row r="1345" spans="1:2" hidden="1" x14ac:dyDescent="0.25">
      <c r="A1345" s="20" t="s">
        <v>2066</v>
      </c>
      <c r="B1345" s="20" t="s">
        <v>2067</v>
      </c>
    </row>
    <row r="1346" spans="1:2" hidden="1" x14ac:dyDescent="0.25">
      <c r="A1346" s="20" t="s">
        <v>2068</v>
      </c>
      <c r="B1346" s="20" t="s">
        <v>2069</v>
      </c>
    </row>
    <row r="1347" spans="1:2" hidden="1" x14ac:dyDescent="0.25">
      <c r="A1347" s="20" t="s">
        <v>2070</v>
      </c>
      <c r="B1347" s="20" t="s">
        <v>2071</v>
      </c>
    </row>
    <row r="1348" spans="1:2" hidden="1" x14ac:dyDescent="0.25">
      <c r="A1348" s="20" t="s">
        <v>2072</v>
      </c>
      <c r="B1348" s="20" t="s">
        <v>2073</v>
      </c>
    </row>
    <row r="1349" spans="1:2" hidden="1" x14ac:dyDescent="0.25">
      <c r="A1349" s="20" t="s">
        <v>2074</v>
      </c>
      <c r="B1349" s="20" t="s">
        <v>2075</v>
      </c>
    </row>
    <row r="1350" spans="1:2" hidden="1" x14ac:dyDescent="0.25">
      <c r="A1350" s="20" t="s">
        <v>2076</v>
      </c>
      <c r="B1350" s="20" t="s">
        <v>2075</v>
      </c>
    </row>
    <row r="1351" spans="1:2" hidden="1" x14ac:dyDescent="0.25">
      <c r="A1351" s="20" t="s">
        <v>2077</v>
      </c>
      <c r="B1351" s="20" t="s">
        <v>2078</v>
      </c>
    </row>
    <row r="1355" spans="1:2" hidden="1" x14ac:dyDescent="0.25">
      <c r="A1355" s="20">
        <v>4</v>
      </c>
      <c r="B1355" s="20" t="s">
        <v>2079</v>
      </c>
    </row>
    <row r="1356" spans="1:2" hidden="1" x14ac:dyDescent="0.25">
      <c r="A1356" s="20">
        <v>8</v>
      </c>
      <c r="B1356" s="20" t="s">
        <v>2080</v>
      </c>
    </row>
    <row r="1357" spans="1:2" hidden="1" x14ac:dyDescent="0.25">
      <c r="A1357" s="20">
        <v>10</v>
      </c>
      <c r="B1357" s="20" t="s">
        <v>2081</v>
      </c>
    </row>
    <row r="1358" spans="1:2" hidden="1" x14ac:dyDescent="0.25">
      <c r="A1358" s="20">
        <v>12</v>
      </c>
      <c r="B1358" s="20" t="s">
        <v>2082</v>
      </c>
    </row>
    <row r="1359" spans="1:2" hidden="1" x14ac:dyDescent="0.25">
      <c r="A1359" s="20">
        <v>16</v>
      </c>
      <c r="B1359" s="20" t="s">
        <v>2083</v>
      </c>
    </row>
    <row r="1360" spans="1:2" hidden="1" x14ac:dyDescent="0.25">
      <c r="A1360" s="20">
        <v>20</v>
      </c>
      <c r="B1360" s="20" t="s">
        <v>2084</v>
      </c>
    </row>
    <row r="1361" spans="1:2" hidden="1" x14ac:dyDescent="0.25">
      <c r="A1361" s="20">
        <v>24</v>
      </c>
      <c r="B1361" s="20" t="s">
        <v>2085</v>
      </c>
    </row>
    <row r="1362" spans="1:2" hidden="1" x14ac:dyDescent="0.25">
      <c r="A1362" s="20">
        <v>28</v>
      </c>
      <c r="B1362" s="20" t="s">
        <v>2086</v>
      </c>
    </row>
    <row r="1363" spans="1:2" hidden="1" x14ac:dyDescent="0.25">
      <c r="A1363" s="20">
        <v>31</v>
      </c>
      <c r="B1363" s="20" t="s">
        <v>2087</v>
      </c>
    </row>
    <row r="1364" spans="1:2" hidden="1" x14ac:dyDescent="0.25">
      <c r="A1364" s="20">
        <v>32</v>
      </c>
      <c r="B1364" s="20" t="s">
        <v>2088</v>
      </c>
    </row>
    <row r="1365" spans="1:2" hidden="1" x14ac:dyDescent="0.25">
      <c r="A1365" s="20">
        <v>36</v>
      </c>
      <c r="B1365" s="20" t="s">
        <v>2089</v>
      </c>
    </row>
    <row r="1366" spans="1:2" hidden="1" x14ac:dyDescent="0.25">
      <c r="A1366" s="20">
        <v>40</v>
      </c>
      <c r="B1366" s="20" t="s">
        <v>2090</v>
      </c>
    </row>
    <row r="1367" spans="1:2" hidden="1" x14ac:dyDescent="0.25">
      <c r="A1367" s="20">
        <v>44</v>
      </c>
      <c r="B1367" s="20" t="s">
        <v>2091</v>
      </c>
    </row>
    <row r="1368" spans="1:2" hidden="1" x14ac:dyDescent="0.25">
      <c r="A1368" s="20">
        <v>48</v>
      </c>
      <c r="B1368" s="20" t="s">
        <v>2092</v>
      </c>
    </row>
    <row r="1369" spans="1:2" hidden="1" x14ac:dyDescent="0.25">
      <c r="A1369" s="20">
        <v>50</v>
      </c>
      <c r="B1369" s="20" t="s">
        <v>2093</v>
      </c>
    </row>
    <row r="1370" spans="1:2" hidden="1" x14ac:dyDescent="0.25">
      <c r="A1370" s="20">
        <v>51</v>
      </c>
      <c r="B1370" s="20" t="s">
        <v>2094</v>
      </c>
    </row>
    <row r="1371" spans="1:2" hidden="1" x14ac:dyDescent="0.25">
      <c r="A1371" s="20">
        <v>52</v>
      </c>
      <c r="B1371" s="20" t="s">
        <v>2095</v>
      </c>
    </row>
    <row r="1372" spans="1:2" hidden="1" x14ac:dyDescent="0.25">
      <c r="A1372" s="20">
        <v>56</v>
      </c>
      <c r="B1372" s="20" t="s">
        <v>2096</v>
      </c>
    </row>
    <row r="1373" spans="1:2" hidden="1" x14ac:dyDescent="0.25">
      <c r="A1373" s="20">
        <v>60</v>
      </c>
      <c r="B1373" s="20" t="s">
        <v>2097</v>
      </c>
    </row>
    <row r="1374" spans="1:2" hidden="1" x14ac:dyDescent="0.25">
      <c r="A1374" s="20">
        <v>64</v>
      </c>
      <c r="B1374" s="20" t="s">
        <v>2098</v>
      </c>
    </row>
    <row r="1375" spans="1:2" hidden="1" x14ac:dyDescent="0.25">
      <c r="A1375" s="20">
        <v>68</v>
      </c>
      <c r="B1375" s="20" t="s">
        <v>2099</v>
      </c>
    </row>
    <row r="1376" spans="1:2" hidden="1" x14ac:dyDescent="0.25">
      <c r="A1376" s="20">
        <v>70</v>
      </c>
      <c r="B1376" s="20" t="s">
        <v>2100</v>
      </c>
    </row>
    <row r="1377" spans="1:2" hidden="1" x14ac:dyDescent="0.25">
      <c r="A1377" s="20">
        <v>72</v>
      </c>
      <c r="B1377" s="20" t="s">
        <v>2101</v>
      </c>
    </row>
    <row r="1378" spans="1:2" hidden="1" x14ac:dyDescent="0.25">
      <c r="A1378" s="20">
        <v>74</v>
      </c>
      <c r="B1378" s="20" t="s">
        <v>2102</v>
      </c>
    </row>
    <row r="1379" spans="1:2" hidden="1" x14ac:dyDescent="0.25">
      <c r="A1379" s="20">
        <v>76</v>
      </c>
      <c r="B1379" s="20" t="s">
        <v>2103</v>
      </c>
    </row>
    <row r="1380" spans="1:2" hidden="1" x14ac:dyDescent="0.25">
      <c r="A1380" s="20">
        <v>84</v>
      </c>
      <c r="B1380" s="20" t="s">
        <v>2104</v>
      </c>
    </row>
    <row r="1381" spans="1:2" hidden="1" x14ac:dyDescent="0.25">
      <c r="A1381" s="20">
        <v>86</v>
      </c>
      <c r="B1381" s="20" t="s">
        <v>2105</v>
      </c>
    </row>
    <row r="1382" spans="1:2" hidden="1" x14ac:dyDescent="0.25">
      <c r="A1382" s="20">
        <v>90</v>
      </c>
      <c r="B1382" s="20" t="s">
        <v>2106</v>
      </c>
    </row>
    <row r="1383" spans="1:2" hidden="1" x14ac:dyDescent="0.25">
      <c r="A1383" s="20">
        <v>92</v>
      </c>
      <c r="B1383" s="20" t="s">
        <v>2107</v>
      </c>
    </row>
    <row r="1384" spans="1:2" hidden="1" x14ac:dyDescent="0.25">
      <c r="A1384" s="20">
        <v>95</v>
      </c>
      <c r="B1384" s="20" t="s">
        <v>2108</v>
      </c>
    </row>
    <row r="1385" spans="1:2" hidden="1" x14ac:dyDescent="0.25">
      <c r="A1385" s="20">
        <v>96</v>
      </c>
      <c r="B1385" s="20" t="s">
        <v>2109</v>
      </c>
    </row>
    <row r="1386" spans="1:2" hidden="1" x14ac:dyDescent="0.25">
      <c r="A1386" s="20">
        <v>100</v>
      </c>
      <c r="B1386" s="20" t="s">
        <v>2110</v>
      </c>
    </row>
    <row r="1387" spans="1:2" hidden="1" x14ac:dyDescent="0.25">
      <c r="A1387" s="20">
        <v>104</v>
      </c>
      <c r="B1387" s="20" t="s">
        <v>2111</v>
      </c>
    </row>
    <row r="1388" spans="1:2" hidden="1" x14ac:dyDescent="0.25">
      <c r="A1388" s="20">
        <v>108</v>
      </c>
      <c r="B1388" s="20" t="s">
        <v>2112</v>
      </c>
    </row>
    <row r="1389" spans="1:2" hidden="1" x14ac:dyDescent="0.25">
      <c r="A1389" s="20">
        <v>112</v>
      </c>
      <c r="B1389" s="20" t="s">
        <v>2113</v>
      </c>
    </row>
    <row r="1390" spans="1:2" hidden="1" x14ac:dyDescent="0.25">
      <c r="A1390" s="20">
        <v>116</v>
      </c>
      <c r="B1390" s="20" t="s">
        <v>2114</v>
      </c>
    </row>
    <row r="1391" spans="1:2" hidden="1" x14ac:dyDescent="0.25">
      <c r="A1391" s="20">
        <v>120</v>
      </c>
      <c r="B1391" s="20" t="s">
        <v>2115</v>
      </c>
    </row>
    <row r="1392" spans="1:2" hidden="1" x14ac:dyDescent="0.25">
      <c r="A1392" s="20">
        <v>124</v>
      </c>
      <c r="B1392" s="20" t="s">
        <v>2116</v>
      </c>
    </row>
    <row r="1393" spans="1:2" hidden="1" x14ac:dyDescent="0.25">
      <c r="A1393" s="20">
        <v>132</v>
      </c>
      <c r="B1393" s="20" t="s">
        <v>2117</v>
      </c>
    </row>
    <row r="1394" spans="1:2" hidden="1" x14ac:dyDescent="0.25">
      <c r="A1394" s="20">
        <v>136</v>
      </c>
      <c r="B1394" s="20" t="s">
        <v>2118</v>
      </c>
    </row>
    <row r="1395" spans="1:2" hidden="1" x14ac:dyDescent="0.25">
      <c r="A1395" s="20">
        <v>140</v>
      </c>
      <c r="B1395" s="20" t="s">
        <v>2119</v>
      </c>
    </row>
    <row r="1396" spans="1:2" hidden="1" x14ac:dyDescent="0.25">
      <c r="A1396" s="20">
        <v>144</v>
      </c>
      <c r="B1396" s="20" t="s">
        <v>2120</v>
      </c>
    </row>
    <row r="1397" spans="1:2" hidden="1" x14ac:dyDescent="0.25">
      <c r="A1397" s="20">
        <v>148</v>
      </c>
      <c r="B1397" s="20" t="s">
        <v>2121</v>
      </c>
    </row>
    <row r="1398" spans="1:2" hidden="1" x14ac:dyDescent="0.25">
      <c r="A1398" s="20">
        <v>152</v>
      </c>
      <c r="B1398" s="20" t="s">
        <v>2122</v>
      </c>
    </row>
    <row r="1399" spans="1:2" hidden="1" x14ac:dyDescent="0.25">
      <c r="A1399" s="20">
        <v>156</v>
      </c>
      <c r="B1399" s="20" t="s">
        <v>2123</v>
      </c>
    </row>
    <row r="1400" spans="1:2" hidden="1" x14ac:dyDescent="0.25">
      <c r="A1400" s="20">
        <v>158</v>
      </c>
      <c r="B1400" s="20" t="s">
        <v>2124</v>
      </c>
    </row>
    <row r="1401" spans="1:2" hidden="1" x14ac:dyDescent="0.25">
      <c r="A1401" s="20">
        <v>162</v>
      </c>
      <c r="B1401" s="20" t="s">
        <v>2125</v>
      </c>
    </row>
    <row r="1402" spans="1:2" hidden="1" x14ac:dyDescent="0.25">
      <c r="A1402" s="20">
        <v>166</v>
      </c>
      <c r="B1402" s="20" t="s">
        <v>2126</v>
      </c>
    </row>
    <row r="1403" spans="1:2" hidden="1" x14ac:dyDescent="0.25">
      <c r="A1403" s="20">
        <v>170</v>
      </c>
      <c r="B1403" s="20" t="s">
        <v>2127</v>
      </c>
    </row>
    <row r="1404" spans="1:2" hidden="1" x14ac:dyDescent="0.25">
      <c r="A1404" s="20">
        <v>174</v>
      </c>
      <c r="B1404" s="20" t="s">
        <v>2128</v>
      </c>
    </row>
    <row r="1405" spans="1:2" hidden="1" x14ac:dyDescent="0.25">
      <c r="A1405" s="20">
        <v>175</v>
      </c>
      <c r="B1405" s="20" t="s">
        <v>2129</v>
      </c>
    </row>
    <row r="1406" spans="1:2" hidden="1" x14ac:dyDescent="0.25">
      <c r="A1406" s="20">
        <v>178</v>
      </c>
      <c r="B1406" s="20" t="s">
        <v>2130</v>
      </c>
    </row>
    <row r="1407" spans="1:2" hidden="1" x14ac:dyDescent="0.25">
      <c r="A1407" s="20">
        <v>180</v>
      </c>
      <c r="B1407" s="20" t="s">
        <v>2131</v>
      </c>
    </row>
    <row r="1408" spans="1:2" hidden="1" x14ac:dyDescent="0.25">
      <c r="A1408" s="20">
        <v>184</v>
      </c>
      <c r="B1408" s="20" t="s">
        <v>2132</v>
      </c>
    </row>
    <row r="1409" spans="1:2" hidden="1" x14ac:dyDescent="0.25">
      <c r="A1409" s="20">
        <v>188</v>
      </c>
      <c r="B1409" s="20" t="s">
        <v>2133</v>
      </c>
    </row>
    <row r="1410" spans="1:2" hidden="1" x14ac:dyDescent="0.25">
      <c r="A1410" s="20">
        <v>192</v>
      </c>
      <c r="B1410" s="20" t="s">
        <v>2134</v>
      </c>
    </row>
    <row r="1411" spans="1:2" hidden="1" x14ac:dyDescent="0.25">
      <c r="A1411" s="20">
        <v>196</v>
      </c>
      <c r="B1411" s="20" t="s">
        <v>2135</v>
      </c>
    </row>
    <row r="1412" spans="1:2" hidden="1" x14ac:dyDescent="0.25">
      <c r="A1412" s="20">
        <v>203</v>
      </c>
      <c r="B1412" s="20" t="s">
        <v>2136</v>
      </c>
    </row>
    <row r="1413" spans="1:2" hidden="1" x14ac:dyDescent="0.25">
      <c r="A1413" s="20">
        <v>204</v>
      </c>
      <c r="B1413" s="20" t="s">
        <v>2137</v>
      </c>
    </row>
    <row r="1414" spans="1:2" hidden="1" x14ac:dyDescent="0.25">
      <c r="A1414" s="20">
        <v>208</v>
      </c>
      <c r="B1414" s="20" t="s">
        <v>2138</v>
      </c>
    </row>
    <row r="1415" spans="1:2" hidden="1" x14ac:dyDescent="0.25">
      <c r="A1415" s="20">
        <v>212</v>
      </c>
      <c r="B1415" s="20" t="s">
        <v>2139</v>
      </c>
    </row>
    <row r="1416" spans="1:2" hidden="1" x14ac:dyDescent="0.25">
      <c r="A1416" s="20">
        <v>214</v>
      </c>
      <c r="B1416" s="20" t="s">
        <v>2140</v>
      </c>
    </row>
    <row r="1417" spans="1:2" hidden="1" x14ac:dyDescent="0.25">
      <c r="A1417" s="20">
        <v>218</v>
      </c>
      <c r="B1417" s="20" t="s">
        <v>2141</v>
      </c>
    </row>
    <row r="1418" spans="1:2" hidden="1" x14ac:dyDescent="0.25">
      <c r="A1418" s="20">
        <v>222</v>
      </c>
      <c r="B1418" s="20" t="s">
        <v>2142</v>
      </c>
    </row>
    <row r="1419" spans="1:2" hidden="1" x14ac:dyDescent="0.25">
      <c r="A1419" s="20">
        <v>226</v>
      </c>
      <c r="B1419" s="20" t="s">
        <v>2143</v>
      </c>
    </row>
    <row r="1420" spans="1:2" hidden="1" x14ac:dyDescent="0.25">
      <c r="A1420" s="20">
        <v>231</v>
      </c>
      <c r="B1420" s="20" t="s">
        <v>2144</v>
      </c>
    </row>
    <row r="1421" spans="1:2" hidden="1" x14ac:dyDescent="0.25">
      <c r="A1421" s="20">
        <v>232</v>
      </c>
      <c r="B1421" s="20" t="s">
        <v>2145</v>
      </c>
    </row>
    <row r="1422" spans="1:2" hidden="1" x14ac:dyDescent="0.25">
      <c r="A1422" s="20">
        <v>233</v>
      </c>
      <c r="B1422" s="20" t="s">
        <v>2146</v>
      </c>
    </row>
    <row r="1423" spans="1:2" hidden="1" x14ac:dyDescent="0.25">
      <c r="A1423" s="20">
        <v>234</v>
      </c>
      <c r="B1423" s="20" t="s">
        <v>2147</v>
      </c>
    </row>
    <row r="1424" spans="1:2" hidden="1" x14ac:dyDescent="0.25">
      <c r="A1424" s="20">
        <v>238</v>
      </c>
      <c r="B1424" s="20" t="s">
        <v>2148</v>
      </c>
    </row>
    <row r="1425" spans="1:2" hidden="1" x14ac:dyDescent="0.25">
      <c r="A1425" s="20">
        <v>239</v>
      </c>
      <c r="B1425" s="20" t="s">
        <v>2149</v>
      </c>
    </row>
    <row r="1426" spans="1:2" hidden="1" x14ac:dyDescent="0.25">
      <c r="A1426" s="20">
        <v>242</v>
      </c>
      <c r="B1426" s="20" t="s">
        <v>2150</v>
      </c>
    </row>
    <row r="1427" spans="1:2" hidden="1" x14ac:dyDescent="0.25">
      <c r="A1427" s="20">
        <v>246</v>
      </c>
      <c r="B1427" s="20" t="s">
        <v>2151</v>
      </c>
    </row>
    <row r="1428" spans="1:2" hidden="1" x14ac:dyDescent="0.25">
      <c r="A1428" s="20">
        <v>248</v>
      </c>
      <c r="B1428" s="20" t="s">
        <v>2152</v>
      </c>
    </row>
    <row r="1429" spans="1:2" hidden="1" x14ac:dyDescent="0.25">
      <c r="A1429" s="20">
        <v>250</v>
      </c>
      <c r="B1429" s="20" t="s">
        <v>2153</v>
      </c>
    </row>
    <row r="1430" spans="1:2" hidden="1" x14ac:dyDescent="0.25">
      <c r="A1430" s="20">
        <v>254</v>
      </c>
      <c r="B1430" s="20" t="s">
        <v>2154</v>
      </c>
    </row>
    <row r="1431" spans="1:2" hidden="1" x14ac:dyDescent="0.25">
      <c r="A1431" s="20">
        <v>258</v>
      </c>
      <c r="B1431" s="20" t="s">
        <v>2155</v>
      </c>
    </row>
    <row r="1432" spans="1:2" hidden="1" x14ac:dyDescent="0.25">
      <c r="A1432" s="20">
        <v>260</v>
      </c>
      <c r="B1432" s="20" t="s">
        <v>2156</v>
      </c>
    </row>
    <row r="1433" spans="1:2" hidden="1" x14ac:dyDescent="0.25">
      <c r="A1433" s="20">
        <v>262</v>
      </c>
      <c r="B1433" s="20" t="s">
        <v>2157</v>
      </c>
    </row>
    <row r="1434" spans="1:2" hidden="1" x14ac:dyDescent="0.25">
      <c r="A1434" s="20">
        <v>266</v>
      </c>
      <c r="B1434" s="20" t="s">
        <v>2158</v>
      </c>
    </row>
    <row r="1435" spans="1:2" hidden="1" x14ac:dyDescent="0.25">
      <c r="A1435" s="20">
        <v>268</v>
      </c>
      <c r="B1435" s="20" t="s">
        <v>2159</v>
      </c>
    </row>
    <row r="1436" spans="1:2" hidden="1" x14ac:dyDescent="0.25">
      <c r="A1436" s="20">
        <v>270</v>
      </c>
      <c r="B1436" s="20" t="s">
        <v>2160</v>
      </c>
    </row>
    <row r="1437" spans="1:2" hidden="1" x14ac:dyDescent="0.25">
      <c r="A1437" s="20">
        <v>275</v>
      </c>
      <c r="B1437" s="20" t="s">
        <v>2161</v>
      </c>
    </row>
    <row r="1438" spans="1:2" hidden="1" x14ac:dyDescent="0.25">
      <c r="A1438" s="20">
        <v>276</v>
      </c>
      <c r="B1438" s="20" t="s">
        <v>2162</v>
      </c>
    </row>
    <row r="1439" spans="1:2" hidden="1" x14ac:dyDescent="0.25">
      <c r="A1439" s="20">
        <v>288</v>
      </c>
      <c r="B1439" s="20" t="s">
        <v>2163</v>
      </c>
    </row>
    <row r="1440" spans="1:2" hidden="1" x14ac:dyDescent="0.25">
      <c r="A1440" s="20">
        <v>292</v>
      </c>
      <c r="B1440" s="20" t="s">
        <v>2164</v>
      </c>
    </row>
    <row r="1441" spans="1:2" hidden="1" x14ac:dyDescent="0.25">
      <c r="A1441" s="20">
        <v>296</v>
      </c>
      <c r="B1441" s="20" t="s">
        <v>2165</v>
      </c>
    </row>
    <row r="1442" spans="1:2" hidden="1" x14ac:dyDescent="0.25">
      <c r="A1442" s="20">
        <v>300</v>
      </c>
      <c r="B1442" s="20" t="s">
        <v>2166</v>
      </c>
    </row>
    <row r="1443" spans="1:2" hidden="1" x14ac:dyDescent="0.25">
      <c r="A1443" s="20">
        <v>304</v>
      </c>
      <c r="B1443" s="20" t="s">
        <v>2167</v>
      </c>
    </row>
    <row r="1444" spans="1:2" hidden="1" x14ac:dyDescent="0.25">
      <c r="A1444" s="20">
        <v>308</v>
      </c>
      <c r="B1444" s="20" t="s">
        <v>2168</v>
      </c>
    </row>
    <row r="1445" spans="1:2" hidden="1" x14ac:dyDescent="0.25">
      <c r="A1445" s="20">
        <v>312</v>
      </c>
      <c r="B1445" s="20" t="s">
        <v>2169</v>
      </c>
    </row>
    <row r="1446" spans="1:2" hidden="1" x14ac:dyDescent="0.25">
      <c r="A1446" s="20">
        <v>316</v>
      </c>
      <c r="B1446" s="20" t="s">
        <v>2170</v>
      </c>
    </row>
    <row r="1447" spans="1:2" hidden="1" x14ac:dyDescent="0.25">
      <c r="A1447" s="20">
        <v>320</v>
      </c>
      <c r="B1447" s="20" t="s">
        <v>2171</v>
      </c>
    </row>
    <row r="1448" spans="1:2" hidden="1" x14ac:dyDescent="0.25">
      <c r="A1448" s="20">
        <v>324</v>
      </c>
      <c r="B1448" s="20" t="s">
        <v>2172</v>
      </c>
    </row>
    <row r="1449" spans="1:2" hidden="1" x14ac:dyDescent="0.25">
      <c r="A1449" s="20">
        <v>328</v>
      </c>
      <c r="B1449" s="20" t="s">
        <v>2173</v>
      </c>
    </row>
    <row r="1450" spans="1:2" hidden="1" x14ac:dyDescent="0.25">
      <c r="A1450" s="20">
        <v>332</v>
      </c>
      <c r="B1450" s="20" t="s">
        <v>2174</v>
      </c>
    </row>
    <row r="1451" spans="1:2" hidden="1" x14ac:dyDescent="0.25">
      <c r="A1451" s="20">
        <v>334</v>
      </c>
      <c r="B1451" s="20" t="s">
        <v>2175</v>
      </c>
    </row>
    <row r="1452" spans="1:2" hidden="1" x14ac:dyDescent="0.25">
      <c r="A1452" s="20">
        <v>336</v>
      </c>
      <c r="B1452" s="20" t="s">
        <v>2176</v>
      </c>
    </row>
    <row r="1453" spans="1:2" hidden="1" x14ac:dyDescent="0.25">
      <c r="A1453" s="20">
        <v>340</v>
      </c>
      <c r="B1453" s="20" t="s">
        <v>2177</v>
      </c>
    </row>
    <row r="1454" spans="1:2" hidden="1" x14ac:dyDescent="0.25">
      <c r="A1454" s="20">
        <v>344</v>
      </c>
      <c r="B1454" s="20" t="s">
        <v>2178</v>
      </c>
    </row>
    <row r="1455" spans="1:2" hidden="1" x14ac:dyDescent="0.25">
      <c r="A1455" s="20">
        <v>348</v>
      </c>
      <c r="B1455" s="20" t="s">
        <v>2179</v>
      </c>
    </row>
    <row r="1456" spans="1:2" hidden="1" x14ac:dyDescent="0.25">
      <c r="A1456" s="20">
        <v>352</v>
      </c>
      <c r="B1456" s="20" t="s">
        <v>2180</v>
      </c>
    </row>
    <row r="1457" spans="1:2" hidden="1" x14ac:dyDescent="0.25">
      <c r="A1457" s="20">
        <v>356</v>
      </c>
      <c r="B1457" s="20" t="s">
        <v>2181</v>
      </c>
    </row>
    <row r="1458" spans="1:2" hidden="1" x14ac:dyDescent="0.25">
      <c r="A1458" s="20">
        <v>360</v>
      </c>
      <c r="B1458" s="20" t="s">
        <v>2182</v>
      </c>
    </row>
    <row r="1459" spans="1:2" hidden="1" x14ac:dyDescent="0.25">
      <c r="A1459" s="20">
        <v>364</v>
      </c>
      <c r="B1459" s="20" t="s">
        <v>2183</v>
      </c>
    </row>
    <row r="1460" spans="1:2" hidden="1" x14ac:dyDescent="0.25">
      <c r="A1460" s="20">
        <v>368</v>
      </c>
      <c r="B1460" s="20" t="s">
        <v>2184</v>
      </c>
    </row>
    <row r="1461" spans="1:2" hidden="1" x14ac:dyDescent="0.25">
      <c r="A1461" s="20">
        <v>372</v>
      </c>
      <c r="B1461" s="20" t="s">
        <v>2185</v>
      </c>
    </row>
    <row r="1462" spans="1:2" hidden="1" x14ac:dyDescent="0.25">
      <c r="A1462" s="20">
        <v>376</v>
      </c>
      <c r="B1462" s="20" t="s">
        <v>2186</v>
      </c>
    </row>
    <row r="1463" spans="1:2" hidden="1" x14ac:dyDescent="0.25">
      <c r="A1463" s="20">
        <v>380</v>
      </c>
      <c r="B1463" s="20" t="s">
        <v>2187</v>
      </c>
    </row>
    <row r="1464" spans="1:2" hidden="1" x14ac:dyDescent="0.25">
      <c r="A1464" s="20">
        <v>384</v>
      </c>
      <c r="B1464" s="20" t="s">
        <v>2188</v>
      </c>
    </row>
    <row r="1465" spans="1:2" hidden="1" x14ac:dyDescent="0.25">
      <c r="A1465" s="20">
        <v>388</v>
      </c>
      <c r="B1465" s="20" t="s">
        <v>2189</v>
      </c>
    </row>
    <row r="1466" spans="1:2" hidden="1" x14ac:dyDescent="0.25">
      <c r="A1466" s="20">
        <v>392</v>
      </c>
      <c r="B1466" s="20" t="s">
        <v>2190</v>
      </c>
    </row>
    <row r="1467" spans="1:2" hidden="1" x14ac:dyDescent="0.25">
      <c r="A1467" s="20">
        <v>398</v>
      </c>
      <c r="B1467" s="20" t="s">
        <v>2191</v>
      </c>
    </row>
    <row r="1468" spans="1:2" hidden="1" x14ac:dyDescent="0.25">
      <c r="A1468" s="20">
        <v>400</v>
      </c>
      <c r="B1468" s="20" t="s">
        <v>2192</v>
      </c>
    </row>
    <row r="1469" spans="1:2" hidden="1" x14ac:dyDescent="0.25">
      <c r="A1469" s="20">
        <v>404</v>
      </c>
      <c r="B1469" s="20" t="s">
        <v>2193</v>
      </c>
    </row>
    <row r="1470" spans="1:2" hidden="1" x14ac:dyDescent="0.25">
      <c r="A1470" s="20">
        <v>408</v>
      </c>
      <c r="B1470" s="20" t="s">
        <v>2194</v>
      </c>
    </row>
    <row r="1471" spans="1:2" hidden="1" x14ac:dyDescent="0.25">
      <c r="A1471" s="20">
        <v>410</v>
      </c>
      <c r="B1471" s="20" t="s">
        <v>2195</v>
      </c>
    </row>
    <row r="1472" spans="1:2" hidden="1" x14ac:dyDescent="0.25">
      <c r="A1472" s="20">
        <v>414</v>
      </c>
      <c r="B1472" s="20" t="s">
        <v>2196</v>
      </c>
    </row>
    <row r="1473" spans="1:2" hidden="1" x14ac:dyDescent="0.25">
      <c r="A1473" s="20">
        <v>417</v>
      </c>
      <c r="B1473" s="20" t="s">
        <v>2197</v>
      </c>
    </row>
    <row r="1474" spans="1:2" hidden="1" x14ac:dyDescent="0.25">
      <c r="A1474" s="20">
        <v>418</v>
      </c>
      <c r="B1474" s="20" t="s">
        <v>2198</v>
      </c>
    </row>
    <row r="1475" spans="1:2" hidden="1" x14ac:dyDescent="0.25">
      <c r="A1475" s="20">
        <v>422</v>
      </c>
      <c r="B1475" s="20" t="s">
        <v>2199</v>
      </c>
    </row>
    <row r="1476" spans="1:2" hidden="1" x14ac:dyDescent="0.25">
      <c r="A1476" s="20">
        <v>426</v>
      </c>
      <c r="B1476" s="20" t="s">
        <v>2200</v>
      </c>
    </row>
    <row r="1477" spans="1:2" hidden="1" x14ac:dyDescent="0.25">
      <c r="A1477" s="20">
        <v>428</v>
      </c>
      <c r="B1477" s="20" t="s">
        <v>2201</v>
      </c>
    </row>
    <row r="1478" spans="1:2" hidden="1" x14ac:dyDescent="0.25">
      <c r="A1478" s="20">
        <v>430</v>
      </c>
      <c r="B1478" s="20" t="s">
        <v>2202</v>
      </c>
    </row>
    <row r="1479" spans="1:2" hidden="1" x14ac:dyDescent="0.25">
      <c r="A1479" s="20">
        <v>434</v>
      </c>
      <c r="B1479" s="20" t="s">
        <v>2203</v>
      </c>
    </row>
    <row r="1480" spans="1:2" hidden="1" x14ac:dyDescent="0.25">
      <c r="A1480" s="20">
        <v>438</v>
      </c>
      <c r="B1480" s="20" t="s">
        <v>2204</v>
      </c>
    </row>
    <row r="1481" spans="1:2" hidden="1" x14ac:dyDescent="0.25">
      <c r="A1481" s="20">
        <v>440</v>
      </c>
      <c r="B1481" s="20" t="s">
        <v>2205</v>
      </c>
    </row>
    <row r="1482" spans="1:2" hidden="1" x14ac:dyDescent="0.25">
      <c r="A1482" s="20">
        <v>442</v>
      </c>
      <c r="B1482" s="20" t="s">
        <v>2206</v>
      </c>
    </row>
    <row r="1483" spans="1:2" hidden="1" x14ac:dyDescent="0.25">
      <c r="A1483" s="20">
        <v>446</v>
      </c>
      <c r="B1483" s="20" t="s">
        <v>2207</v>
      </c>
    </row>
    <row r="1484" spans="1:2" hidden="1" x14ac:dyDescent="0.25">
      <c r="A1484" s="20">
        <v>450</v>
      </c>
      <c r="B1484" s="20" t="s">
        <v>2208</v>
      </c>
    </row>
    <row r="1485" spans="1:2" hidden="1" x14ac:dyDescent="0.25">
      <c r="A1485" s="20">
        <v>454</v>
      </c>
      <c r="B1485" s="20" t="s">
        <v>2209</v>
      </c>
    </row>
    <row r="1486" spans="1:2" hidden="1" x14ac:dyDescent="0.25">
      <c r="A1486" s="20">
        <v>458</v>
      </c>
      <c r="B1486" s="20" t="s">
        <v>2210</v>
      </c>
    </row>
    <row r="1487" spans="1:2" hidden="1" x14ac:dyDescent="0.25">
      <c r="A1487" s="20">
        <v>462</v>
      </c>
      <c r="B1487" s="20" t="s">
        <v>2211</v>
      </c>
    </row>
    <row r="1488" spans="1:2" hidden="1" x14ac:dyDescent="0.25">
      <c r="A1488" s="20">
        <v>466</v>
      </c>
      <c r="B1488" s="20" t="s">
        <v>2212</v>
      </c>
    </row>
    <row r="1489" spans="1:2" hidden="1" x14ac:dyDescent="0.25">
      <c r="A1489" s="20">
        <v>470</v>
      </c>
      <c r="B1489" s="20" t="s">
        <v>2213</v>
      </c>
    </row>
    <row r="1490" spans="1:2" hidden="1" x14ac:dyDescent="0.25">
      <c r="A1490" s="20">
        <v>474</v>
      </c>
      <c r="B1490" s="20" t="s">
        <v>2214</v>
      </c>
    </row>
    <row r="1491" spans="1:2" hidden="1" x14ac:dyDescent="0.25">
      <c r="A1491" s="20">
        <v>478</v>
      </c>
      <c r="B1491" s="20" t="s">
        <v>2215</v>
      </c>
    </row>
    <row r="1492" spans="1:2" hidden="1" x14ac:dyDescent="0.25">
      <c r="A1492" s="20">
        <v>480</v>
      </c>
      <c r="B1492" s="20" t="s">
        <v>2216</v>
      </c>
    </row>
    <row r="1493" spans="1:2" hidden="1" x14ac:dyDescent="0.25">
      <c r="A1493" s="20">
        <v>484</v>
      </c>
      <c r="B1493" s="20" t="s">
        <v>2217</v>
      </c>
    </row>
    <row r="1494" spans="1:2" hidden="1" x14ac:dyDescent="0.25">
      <c r="A1494" s="20">
        <v>492</v>
      </c>
      <c r="B1494" s="20" t="s">
        <v>2218</v>
      </c>
    </row>
    <row r="1495" spans="1:2" hidden="1" x14ac:dyDescent="0.25">
      <c r="A1495" s="20">
        <v>496</v>
      </c>
      <c r="B1495" s="20" t="s">
        <v>2219</v>
      </c>
    </row>
    <row r="1496" spans="1:2" hidden="1" x14ac:dyDescent="0.25">
      <c r="A1496" s="20">
        <v>498</v>
      </c>
      <c r="B1496" s="20" t="s">
        <v>2220</v>
      </c>
    </row>
    <row r="1497" spans="1:2" hidden="1" x14ac:dyDescent="0.25">
      <c r="A1497" s="20">
        <v>499</v>
      </c>
      <c r="B1497" s="20" t="s">
        <v>2221</v>
      </c>
    </row>
    <row r="1498" spans="1:2" hidden="1" x14ac:dyDescent="0.25">
      <c r="A1498" s="20">
        <v>500</v>
      </c>
      <c r="B1498" s="20" t="s">
        <v>2222</v>
      </c>
    </row>
    <row r="1499" spans="1:2" hidden="1" x14ac:dyDescent="0.25">
      <c r="A1499" s="20">
        <v>504</v>
      </c>
      <c r="B1499" s="20" t="s">
        <v>2223</v>
      </c>
    </row>
    <row r="1500" spans="1:2" hidden="1" x14ac:dyDescent="0.25">
      <c r="A1500" s="20">
        <v>508</v>
      </c>
      <c r="B1500" s="20" t="s">
        <v>2224</v>
      </c>
    </row>
    <row r="1501" spans="1:2" hidden="1" x14ac:dyDescent="0.25">
      <c r="A1501" s="20">
        <v>512</v>
      </c>
      <c r="B1501" s="20" t="s">
        <v>2225</v>
      </c>
    </row>
    <row r="1502" spans="1:2" hidden="1" x14ac:dyDescent="0.25">
      <c r="A1502" s="20">
        <v>516</v>
      </c>
      <c r="B1502" s="20" t="s">
        <v>2226</v>
      </c>
    </row>
    <row r="1503" spans="1:2" hidden="1" x14ac:dyDescent="0.25">
      <c r="A1503" s="20">
        <v>520</v>
      </c>
      <c r="B1503" s="20" t="s">
        <v>2227</v>
      </c>
    </row>
    <row r="1504" spans="1:2" hidden="1" x14ac:dyDescent="0.25">
      <c r="A1504" s="20">
        <v>524</v>
      </c>
      <c r="B1504" s="20" t="s">
        <v>2228</v>
      </c>
    </row>
    <row r="1505" spans="1:2" hidden="1" x14ac:dyDescent="0.25">
      <c r="A1505" s="20">
        <v>528</v>
      </c>
      <c r="B1505" s="20" t="s">
        <v>2229</v>
      </c>
    </row>
    <row r="1506" spans="1:2" hidden="1" x14ac:dyDescent="0.25">
      <c r="A1506" s="20">
        <v>531</v>
      </c>
      <c r="B1506" s="20" t="s">
        <v>2230</v>
      </c>
    </row>
    <row r="1507" spans="1:2" hidden="1" x14ac:dyDescent="0.25">
      <c r="A1507" s="20">
        <v>533</v>
      </c>
      <c r="B1507" s="20" t="s">
        <v>2231</v>
      </c>
    </row>
    <row r="1508" spans="1:2" hidden="1" x14ac:dyDescent="0.25">
      <c r="A1508" s="20">
        <v>534</v>
      </c>
      <c r="B1508" s="20" t="s">
        <v>2232</v>
      </c>
    </row>
    <row r="1509" spans="1:2" hidden="1" x14ac:dyDescent="0.25">
      <c r="A1509" s="20">
        <v>535</v>
      </c>
      <c r="B1509" s="20" t="s">
        <v>2233</v>
      </c>
    </row>
    <row r="1510" spans="1:2" hidden="1" x14ac:dyDescent="0.25">
      <c r="A1510" s="20">
        <v>540</v>
      </c>
      <c r="B1510" s="20" t="s">
        <v>2234</v>
      </c>
    </row>
    <row r="1511" spans="1:2" hidden="1" x14ac:dyDescent="0.25">
      <c r="A1511" s="20">
        <v>548</v>
      </c>
      <c r="B1511" s="20" t="s">
        <v>2235</v>
      </c>
    </row>
    <row r="1512" spans="1:2" hidden="1" x14ac:dyDescent="0.25">
      <c r="A1512" s="20">
        <v>554</v>
      </c>
      <c r="B1512" s="20" t="s">
        <v>2236</v>
      </c>
    </row>
    <row r="1513" spans="1:2" hidden="1" x14ac:dyDescent="0.25">
      <c r="A1513" s="20">
        <v>558</v>
      </c>
      <c r="B1513" s="20" t="s">
        <v>2237</v>
      </c>
    </row>
    <row r="1514" spans="1:2" hidden="1" x14ac:dyDescent="0.25">
      <c r="A1514" s="20">
        <v>562</v>
      </c>
      <c r="B1514" s="20" t="s">
        <v>2238</v>
      </c>
    </row>
    <row r="1515" spans="1:2" hidden="1" x14ac:dyDescent="0.25">
      <c r="A1515" s="20">
        <v>566</v>
      </c>
      <c r="B1515" s="20" t="s">
        <v>2239</v>
      </c>
    </row>
    <row r="1516" spans="1:2" hidden="1" x14ac:dyDescent="0.25">
      <c r="A1516" s="20">
        <v>570</v>
      </c>
      <c r="B1516" s="20" t="s">
        <v>2240</v>
      </c>
    </row>
    <row r="1517" spans="1:2" hidden="1" x14ac:dyDescent="0.25">
      <c r="A1517" s="20">
        <v>574</v>
      </c>
      <c r="B1517" s="20" t="s">
        <v>2241</v>
      </c>
    </row>
    <row r="1518" spans="1:2" hidden="1" x14ac:dyDescent="0.25">
      <c r="A1518" s="20">
        <v>578</v>
      </c>
      <c r="B1518" s="20" t="s">
        <v>2242</v>
      </c>
    </row>
    <row r="1519" spans="1:2" hidden="1" x14ac:dyDescent="0.25">
      <c r="A1519" s="20">
        <v>580</v>
      </c>
      <c r="B1519" s="20" t="s">
        <v>2243</v>
      </c>
    </row>
    <row r="1520" spans="1:2" hidden="1" x14ac:dyDescent="0.25">
      <c r="A1520" s="20">
        <v>581</v>
      </c>
      <c r="B1520" s="20" t="s">
        <v>2244</v>
      </c>
    </row>
    <row r="1521" spans="1:2" hidden="1" x14ac:dyDescent="0.25">
      <c r="A1521" s="20">
        <v>583</v>
      </c>
      <c r="B1521" s="20" t="s">
        <v>2245</v>
      </c>
    </row>
    <row r="1522" spans="1:2" hidden="1" x14ac:dyDescent="0.25">
      <c r="A1522" s="20">
        <v>584</v>
      </c>
      <c r="B1522" s="20" t="s">
        <v>2246</v>
      </c>
    </row>
    <row r="1523" spans="1:2" hidden="1" x14ac:dyDescent="0.25">
      <c r="A1523" s="20">
        <v>585</v>
      </c>
      <c r="B1523" s="20" t="s">
        <v>2247</v>
      </c>
    </row>
    <row r="1524" spans="1:2" hidden="1" x14ac:dyDescent="0.25">
      <c r="A1524" s="20">
        <v>586</v>
      </c>
      <c r="B1524" s="20" t="s">
        <v>2248</v>
      </c>
    </row>
    <row r="1525" spans="1:2" hidden="1" x14ac:dyDescent="0.25">
      <c r="A1525" s="20">
        <v>591</v>
      </c>
      <c r="B1525" s="20" t="s">
        <v>2249</v>
      </c>
    </row>
    <row r="1526" spans="1:2" hidden="1" x14ac:dyDescent="0.25">
      <c r="A1526" s="20">
        <v>598</v>
      </c>
      <c r="B1526" s="20" t="s">
        <v>2250</v>
      </c>
    </row>
    <row r="1527" spans="1:2" hidden="1" x14ac:dyDescent="0.25">
      <c r="A1527" s="20">
        <v>600</v>
      </c>
      <c r="B1527" s="20" t="s">
        <v>2251</v>
      </c>
    </row>
    <row r="1528" spans="1:2" hidden="1" x14ac:dyDescent="0.25">
      <c r="A1528" s="20">
        <v>604</v>
      </c>
      <c r="B1528" s="20" t="s">
        <v>2252</v>
      </c>
    </row>
    <row r="1529" spans="1:2" hidden="1" x14ac:dyDescent="0.25">
      <c r="A1529" s="20">
        <v>608</v>
      </c>
      <c r="B1529" s="20" t="s">
        <v>2253</v>
      </c>
    </row>
    <row r="1530" spans="1:2" hidden="1" x14ac:dyDescent="0.25">
      <c r="A1530" s="20">
        <v>612</v>
      </c>
      <c r="B1530" s="20" t="s">
        <v>2254</v>
      </c>
    </row>
    <row r="1531" spans="1:2" hidden="1" x14ac:dyDescent="0.25">
      <c r="A1531" s="20">
        <v>616</v>
      </c>
      <c r="B1531" s="20" t="s">
        <v>2255</v>
      </c>
    </row>
    <row r="1532" spans="1:2" hidden="1" x14ac:dyDescent="0.25">
      <c r="A1532" s="20">
        <v>620</v>
      </c>
      <c r="B1532" s="20" t="s">
        <v>2256</v>
      </c>
    </row>
    <row r="1533" spans="1:2" hidden="1" x14ac:dyDescent="0.25">
      <c r="A1533" s="20">
        <v>624</v>
      </c>
      <c r="B1533" s="20" t="s">
        <v>2257</v>
      </c>
    </row>
    <row r="1534" spans="1:2" hidden="1" x14ac:dyDescent="0.25">
      <c r="A1534" s="20">
        <v>626</v>
      </c>
      <c r="B1534" s="20" t="s">
        <v>2258</v>
      </c>
    </row>
    <row r="1535" spans="1:2" hidden="1" x14ac:dyDescent="0.25">
      <c r="A1535" s="20">
        <v>630</v>
      </c>
      <c r="B1535" s="20" t="s">
        <v>2259</v>
      </c>
    </row>
    <row r="1536" spans="1:2" hidden="1" x14ac:dyDescent="0.25">
      <c r="A1536" s="20">
        <v>634</v>
      </c>
      <c r="B1536" s="20" t="s">
        <v>2260</v>
      </c>
    </row>
    <row r="1537" spans="1:2" hidden="1" x14ac:dyDescent="0.25">
      <c r="A1537" s="20">
        <v>638</v>
      </c>
      <c r="B1537" s="20" t="s">
        <v>2261</v>
      </c>
    </row>
    <row r="1538" spans="1:2" hidden="1" x14ac:dyDescent="0.25">
      <c r="A1538" s="20">
        <v>642</v>
      </c>
      <c r="B1538" s="20" t="s">
        <v>2262</v>
      </c>
    </row>
    <row r="1539" spans="1:2" hidden="1" x14ac:dyDescent="0.25">
      <c r="A1539" s="20">
        <v>643</v>
      </c>
      <c r="B1539" s="20" t="s">
        <v>2263</v>
      </c>
    </row>
    <row r="1540" spans="1:2" hidden="1" x14ac:dyDescent="0.25">
      <c r="A1540" s="20">
        <v>646</v>
      </c>
      <c r="B1540" s="20" t="s">
        <v>2264</v>
      </c>
    </row>
    <row r="1541" spans="1:2" hidden="1" x14ac:dyDescent="0.25">
      <c r="A1541" s="20">
        <v>652</v>
      </c>
      <c r="B1541" s="20" t="s">
        <v>2265</v>
      </c>
    </row>
    <row r="1542" spans="1:2" hidden="1" x14ac:dyDescent="0.25">
      <c r="A1542" s="20">
        <v>654</v>
      </c>
      <c r="B1542" s="20" t="s">
        <v>2266</v>
      </c>
    </row>
    <row r="1543" spans="1:2" hidden="1" x14ac:dyDescent="0.25">
      <c r="A1543" s="20">
        <v>659</v>
      </c>
      <c r="B1543" s="20" t="s">
        <v>2267</v>
      </c>
    </row>
    <row r="1544" spans="1:2" hidden="1" x14ac:dyDescent="0.25">
      <c r="A1544" s="20">
        <v>660</v>
      </c>
      <c r="B1544" s="20" t="s">
        <v>2268</v>
      </c>
    </row>
    <row r="1545" spans="1:2" hidden="1" x14ac:dyDescent="0.25">
      <c r="A1545" s="20">
        <v>662</v>
      </c>
      <c r="B1545" s="20" t="s">
        <v>2269</v>
      </c>
    </row>
    <row r="1546" spans="1:2" hidden="1" x14ac:dyDescent="0.25">
      <c r="A1546" s="20">
        <v>663</v>
      </c>
      <c r="B1546" s="20" t="s">
        <v>2270</v>
      </c>
    </row>
    <row r="1547" spans="1:2" hidden="1" x14ac:dyDescent="0.25">
      <c r="A1547" s="20">
        <v>666</v>
      </c>
      <c r="B1547" s="20" t="s">
        <v>2271</v>
      </c>
    </row>
    <row r="1548" spans="1:2" hidden="1" x14ac:dyDescent="0.25">
      <c r="A1548" s="20">
        <v>670</v>
      </c>
      <c r="B1548" s="20" t="s">
        <v>2272</v>
      </c>
    </row>
    <row r="1549" spans="1:2" hidden="1" x14ac:dyDescent="0.25">
      <c r="A1549" s="20">
        <v>674</v>
      </c>
      <c r="B1549" s="20" t="s">
        <v>2273</v>
      </c>
    </row>
    <row r="1550" spans="1:2" hidden="1" x14ac:dyDescent="0.25">
      <c r="A1550" s="20">
        <v>678</v>
      </c>
      <c r="B1550" s="20" t="s">
        <v>2274</v>
      </c>
    </row>
    <row r="1551" spans="1:2" hidden="1" x14ac:dyDescent="0.25">
      <c r="A1551" s="20">
        <v>682</v>
      </c>
      <c r="B1551" s="20" t="s">
        <v>2275</v>
      </c>
    </row>
    <row r="1552" spans="1:2" hidden="1" x14ac:dyDescent="0.25">
      <c r="A1552" s="20">
        <v>686</v>
      </c>
      <c r="B1552" s="20" t="s">
        <v>2276</v>
      </c>
    </row>
    <row r="1553" spans="1:2" hidden="1" x14ac:dyDescent="0.25">
      <c r="A1553" s="20">
        <v>688</v>
      </c>
      <c r="B1553" s="20" t="s">
        <v>2277</v>
      </c>
    </row>
    <row r="1554" spans="1:2" hidden="1" x14ac:dyDescent="0.25">
      <c r="A1554" s="20">
        <v>690</v>
      </c>
      <c r="B1554" s="20" t="s">
        <v>2278</v>
      </c>
    </row>
    <row r="1555" spans="1:2" hidden="1" x14ac:dyDescent="0.25">
      <c r="A1555" s="20">
        <v>694</v>
      </c>
      <c r="B1555" s="20" t="s">
        <v>2279</v>
      </c>
    </row>
    <row r="1556" spans="1:2" hidden="1" x14ac:dyDescent="0.25">
      <c r="A1556" s="20">
        <v>702</v>
      </c>
      <c r="B1556" s="20" t="s">
        <v>2280</v>
      </c>
    </row>
    <row r="1557" spans="1:2" hidden="1" x14ac:dyDescent="0.25">
      <c r="A1557" s="20">
        <v>703</v>
      </c>
      <c r="B1557" s="20" t="s">
        <v>2281</v>
      </c>
    </row>
    <row r="1558" spans="1:2" hidden="1" x14ac:dyDescent="0.25">
      <c r="A1558" s="20">
        <v>704</v>
      </c>
      <c r="B1558" s="20" t="s">
        <v>2282</v>
      </c>
    </row>
    <row r="1559" spans="1:2" hidden="1" x14ac:dyDescent="0.25">
      <c r="A1559" s="20">
        <v>705</v>
      </c>
      <c r="B1559" s="20" t="s">
        <v>2283</v>
      </c>
    </row>
    <row r="1560" spans="1:2" hidden="1" x14ac:dyDescent="0.25">
      <c r="A1560" s="20">
        <v>706</v>
      </c>
      <c r="B1560" s="20" t="s">
        <v>2284</v>
      </c>
    </row>
    <row r="1561" spans="1:2" hidden="1" x14ac:dyDescent="0.25">
      <c r="A1561" s="20">
        <v>710</v>
      </c>
      <c r="B1561" s="20" t="s">
        <v>2285</v>
      </c>
    </row>
    <row r="1562" spans="1:2" hidden="1" x14ac:dyDescent="0.25">
      <c r="A1562" s="20">
        <v>716</v>
      </c>
      <c r="B1562" s="20" t="s">
        <v>2286</v>
      </c>
    </row>
    <row r="1563" spans="1:2" hidden="1" x14ac:dyDescent="0.25">
      <c r="A1563" s="20">
        <v>724</v>
      </c>
      <c r="B1563" s="20" t="s">
        <v>2287</v>
      </c>
    </row>
    <row r="1564" spans="1:2" hidden="1" x14ac:dyDescent="0.25">
      <c r="A1564" s="20">
        <v>728</v>
      </c>
      <c r="B1564" s="20" t="s">
        <v>2288</v>
      </c>
    </row>
    <row r="1565" spans="1:2" hidden="1" x14ac:dyDescent="0.25">
      <c r="A1565" s="20">
        <v>729</v>
      </c>
      <c r="B1565" s="20" t="s">
        <v>2289</v>
      </c>
    </row>
    <row r="1566" spans="1:2" hidden="1" x14ac:dyDescent="0.25">
      <c r="A1566" s="20">
        <v>732</v>
      </c>
      <c r="B1566" s="20" t="s">
        <v>2290</v>
      </c>
    </row>
    <row r="1567" spans="1:2" hidden="1" x14ac:dyDescent="0.25">
      <c r="A1567" s="20">
        <v>740</v>
      </c>
      <c r="B1567" s="20" t="s">
        <v>2291</v>
      </c>
    </row>
    <row r="1568" spans="1:2" hidden="1" x14ac:dyDescent="0.25">
      <c r="A1568" s="20">
        <v>744</v>
      </c>
      <c r="B1568" s="20" t="s">
        <v>2292</v>
      </c>
    </row>
    <row r="1569" spans="1:2" hidden="1" x14ac:dyDescent="0.25">
      <c r="A1569" s="20">
        <v>748</v>
      </c>
      <c r="B1569" s="20" t="s">
        <v>2293</v>
      </c>
    </row>
    <row r="1570" spans="1:2" hidden="1" x14ac:dyDescent="0.25">
      <c r="A1570" s="20">
        <v>752</v>
      </c>
      <c r="B1570" s="20" t="s">
        <v>2294</v>
      </c>
    </row>
    <row r="1571" spans="1:2" hidden="1" x14ac:dyDescent="0.25">
      <c r="A1571" s="20">
        <v>756</v>
      </c>
      <c r="B1571" s="20" t="s">
        <v>2295</v>
      </c>
    </row>
    <row r="1572" spans="1:2" hidden="1" x14ac:dyDescent="0.25">
      <c r="A1572" s="20">
        <v>760</v>
      </c>
      <c r="B1572" s="20" t="s">
        <v>2296</v>
      </c>
    </row>
    <row r="1573" spans="1:2" hidden="1" x14ac:dyDescent="0.25">
      <c r="A1573" s="20">
        <v>762</v>
      </c>
      <c r="B1573" s="20" t="s">
        <v>2297</v>
      </c>
    </row>
    <row r="1574" spans="1:2" hidden="1" x14ac:dyDescent="0.25">
      <c r="A1574" s="20">
        <v>764</v>
      </c>
      <c r="B1574" s="20" t="s">
        <v>2298</v>
      </c>
    </row>
    <row r="1575" spans="1:2" hidden="1" x14ac:dyDescent="0.25">
      <c r="A1575" s="20">
        <v>768</v>
      </c>
      <c r="B1575" s="20" t="s">
        <v>2299</v>
      </c>
    </row>
    <row r="1576" spans="1:2" hidden="1" x14ac:dyDescent="0.25">
      <c r="A1576" s="20">
        <v>772</v>
      </c>
      <c r="B1576" s="20" t="s">
        <v>2300</v>
      </c>
    </row>
    <row r="1577" spans="1:2" hidden="1" x14ac:dyDescent="0.25">
      <c r="A1577" s="20">
        <v>776</v>
      </c>
      <c r="B1577" s="20" t="s">
        <v>2301</v>
      </c>
    </row>
    <row r="1578" spans="1:2" hidden="1" x14ac:dyDescent="0.25">
      <c r="A1578" s="20">
        <v>780</v>
      </c>
      <c r="B1578" s="20" t="s">
        <v>2302</v>
      </c>
    </row>
    <row r="1579" spans="1:2" hidden="1" x14ac:dyDescent="0.25">
      <c r="A1579" s="20">
        <v>784</v>
      </c>
      <c r="B1579" s="20" t="s">
        <v>2303</v>
      </c>
    </row>
    <row r="1580" spans="1:2" hidden="1" x14ac:dyDescent="0.25">
      <c r="A1580" s="20">
        <v>788</v>
      </c>
      <c r="B1580" s="20" t="s">
        <v>2304</v>
      </c>
    </row>
    <row r="1581" spans="1:2" hidden="1" x14ac:dyDescent="0.25">
      <c r="A1581" s="20">
        <v>792</v>
      </c>
      <c r="B1581" s="20" t="s">
        <v>2305</v>
      </c>
    </row>
    <row r="1582" spans="1:2" hidden="1" x14ac:dyDescent="0.25">
      <c r="A1582" s="20">
        <v>795</v>
      </c>
      <c r="B1582" s="20" t="s">
        <v>2306</v>
      </c>
    </row>
    <row r="1583" spans="1:2" hidden="1" x14ac:dyDescent="0.25">
      <c r="A1583" s="20">
        <v>796</v>
      </c>
      <c r="B1583" s="20" t="s">
        <v>2307</v>
      </c>
    </row>
    <row r="1584" spans="1:2" hidden="1" x14ac:dyDescent="0.25">
      <c r="A1584" s="20">
        <v>798</v>
      </c>
      <c r="B1584" s="20" t="s">
        <v>2308</v>
      </c>
    </row>
    <row r="1585" spans="1:2" hidden="1" x14ac:dyDescent="0.25">
      <c r="A1585" s="20">
        <v>800</v>
      </c>
      <c r="B1585" s="20" t="s">
        <v>2309</v>
      </c>
    </row>
    <row r="1586" spans="1:2" hidden="1" x14ac:dyDescent="0.25">
      <c r="A1586" s="20">
        <v>804</v>
      </c>
      <c r="B1586" s="20" t="s">
        <v>2310</v>
      </c>
    </row>
    <row r="1587" spans="1:2" hidden="1" x14ac:dyDescent="0.25">
      <c r="A1587" s="20">
        <v>807</v>
      </c>
      <c r="B1587" s="20" t="s">
        <v>2311</v>
      </c>
    </row>
    <row r="1588" spans="1:2" hidden="1" x14ac:dyDescent="0.25">
      <c r="A1588" s="20">
        <v>818</v>
      </c>
      <c r="B1588" s="20" t="s">
        <v>2312</v>
      </c>
    </row>
    <row r="1589" spans="1:2" hidden="1" x14ac:dyDescent="0.25">
      <c r="A1589" s="20">
        <v>826</v>
      </c>
      <c r="B1589" s="20" t="s">
        <v>2313</v>
      </c>
    </row>
    <row r="1590" spans="1:2" hidden="1" x14ac:dyDescent="0.25">
      <c r="A1590" s="20">
        <v>831</v>
      </c>
      <c r="B1590" s="20" t="s">
        <v>2314</v>
      </c>
    </row>
    <row r="1591" spans="1:2" hidden="1" x14ac:dyDescent="0.25">
      <c r="A1591" s="20">
        <v>832</v>
      </c>
      <c r="B1591" s="20" t="s">
        <v>2315</v>
      </c>
    </row>
    <row r="1592" spans="1:2" hidden="1" x14ac:dyDescent="0.25">
      <c r="A1592" s="20">
        <v>833</v>
      </c>
      <c r="B1592" s="20" t="s">
        <v>2316</v>
      </c>
    </row>
    <row r="1593" spans="1:2" hidden="1" x14ac:dyDescent="0.25">
      <c r="A1593" s="20">
        <v>834</v>
      </c>
      <c r="B1593" s="20" t="s">
        <v>2317</v>
      </c>
    </row>
    <row r="1594" spans="1:2" hidden="1" x14ac:dyDescent="0.25">
      <c r="A1594" s="20">
        <v>840</v>
      </c>
      <c r="B1594" s="20" t="s">
        <v>2318</v>
      </c>
    </row>
    <row r="1595" spans="1:2" hidden="1" x14ac:dyDescent="0.25">
      <c r="A1595" s="20">
        <v>850</v>
      </c>
      <c r="B1595" s="20" t="s">
        <v>2319</v>
      </c>
    </row>
    <row r="1596" spans="1:2" hidden="1" x14ac:dyDescent="0.25">
      <c r="A1596" s="20">
        <v>854</v>
      </c>
      <c r="B1596" s="20" t="s">
        <v>2320</v>
      </c>
    </row>
    <row r="1597" spans="1:2" hidden="1" x14ac:dyDescent="0.25">
      <c r="A1597" s="20">
        <v>858</v>
      </c>
      <c r="B1597" s="20" t="s">
        <v>2321</v>
      </c>
    </row>
    <row r="1598" spans="1:2" hidden="1" x14ac:dyDescent="0.25">
      <c r="A1598" s="20">
        <v>860</v>
      </c>
      <c r="B1598" s="20" t="s">
        <v>2322</v>
      </c>
    </row>
    <row r="1599" spans="1:2" hidden="1" x14ac:dyDescent="0.25">
      <c r="A1599" s="20">
        <v>862</v>
      </c>
      <c r="B1599" s="20" t="s">
        <v>2323</v>
      </c>
    </row>
    <row r="1600" spans="1:2" hidden="1" x14ac:dyDescent="0.25">
      <c r="A1600" s="20">
        <v>876</v>
      </c>
      <c r="B1600" s="20" t="s">
        <v>2324</v>
      </c>
    </row>
    <row r="1601" spans="1:2" hidden="1" x14ac:dyDescent="0.25">
      <c r="A1601" s="20">
        <v>882</v>
      </c>
      <c r="B1601" s="20" t="s">
        <v>2325</v>
      </c>
    </row>
    <row r="1602" spans="1:2" hidden="1" x14ac:dyDescent="0.25">
      <c r="A1602" s="20">
        <v>887</v>
      </c>
      <c r="B1602" s="20" t="s">
        <v>2326</v>
      </c>
    </row>
    <row r="1603" spans="1:2" hidden="1" x14ac:dyDescent="0.25">
      <c r="A1603" s="20">
        <v>894</v>
      </c>
      <c r="B1603" s="20" t="s">
        <v>2327</v>
      </c>
    </row>
  </sheetData>
  <sheetProtection password="C79A" sheet="1" objects="1" scenarios="1"/>
  <mergeCells count="100">
    <mergeCell ref="J35:K35"/>
    <mergeCell ref="D39:G39"/>
    <mergeCell ref="K39:N39"/>
    <mergeCell ref="G58:H58"/>
    <mergeCell ref="C4:D4"/>
    <mergeCell ref="K10:N10"/>
    <mergeCell ref="F4:G4"/>
    <mergeCell ref="A2:N2"/>
    <mergeCell ref="A7:B7"/>
    <mergeCell ref="A4:B4"/>
    <mergeCell ref="H4:N4"/>
    <mergeCell ref="D7:N7"/>
    <mergeCell ref="A10:B10"/>
    <mergeCell ref="J76:N76"/>
    <mergeCell ref="A68:B68"/>
    <mergeCell ref="A70:B70"/>
    <mergeCell ref="C70:E70"/>
    <mergeCell ref="A72:B72"/>
    <mergeCell ref="C73:H73"/>
    <mergeCell ref="A76:E76"/>
    <mergeCell ref="J68:N69"/>
    <mergeCell ref="A75:E75"/>
    <mergeCell ref="C68:G68"/>
    <mergeCell ref="A11:N11"/>
    <mergeCell ref="F14:H14"/>
    <mergeCell ref="A17:B17"/>
    <mergeCell ref="A14:C14"/>
    <mergeCell ref="H12:J12"/>
    <mergeCell ref="A15:C15"/>
    <mergeCell ref="J14:N14"/>
    <mergeCell ref="F12:G12"/>
    <mergeCell ref="D17:N18"/>
    <mergeCell ref="C35:I35"/>
    <mergeCell ref="L21:N21"/>
    <mergeCell ref="A21:B21"/>
    <mergeCell ref="F27:G27"/>
    <mergeCell ref="H39:I39"/>
    <mergeCell ref="A29:B29"/>
    <mergeCell ref="C33:L33"/>
    <mergeCell ref="A31:B31"/>
    <mergeCell ref="A23:B24"/>
    <mergeCell ref="D23:N23"/>
    <mergeCell ref="H27:I27"/>
    <mergeCell ref="M27:N27"/>
    <mergeCell ref="J27:L27"/>
    <mergeCell ref="C27:E27"/>
    <mergeCell ref="C29:L29"/>
    <mergeCell ref="A37:B37"/>
    <mergeCell ref="J62:N62"/>
    <mergeCell ref="J64:N64"/>
    <mergeCell ref="D44:N44"/>
    <mergeCell ref="A55:B57"/>
    <mergeCell ref="I50:K50"/>
    <mergeCell ref="D50:H50"/>
    <mergeCell ref="J58:N58"/>
    <mergeCell ref="J60:N60"/>
    <mergeCell ref="D52:H52"/>
    <mergeCell ref="J56:N56"/>
    <mergeCell ref="D56:E56"/>
    <mergeCell ref="A58:B59"/>
    <mergeCell ref="G56:H56"/>
    <mergeCell ref="D58:E58"/>
    <mergeCell ref="A46:B47"/>
    <mergeCell ref="D60:E60"/>
    <mergeCell ref="G60:H60"/>
    <mergeCell ref="C64:F64"/>
    <mergeCell ref="B66:G66"/>
    <mergeCell ref="A60:B60"/>
    <mergeCell ref="J54:N54"/>
    <mergeCell ref="J28:N28"/>
    <mergeCell ref="J21:K21"/>
    <mergeCell ref="L35:N35"/>
    <mergeCell ref="A78:N78"/>
    <mergeCell ref="C72:H72"/>
    <mergeCell ref="M46:N46"/>
    <mergeCell ref="J46:L47"/>
    <mergeCell ref="D46:I46"/>
    <mergeCell ref="C71:H71"/>
    <mergeCell ref="C69:H69"/>
    <mergeCell ref="C67:H67"/>
    <mergeCell ref="A50:B50"/>
    <mergeCell ref="A52:B52"/>
    <mergeCell ref="A54:B54"/>
    <mergeCell ref="J66:N67"/>
    <mergeCell ref="A27:B27"/>
    <mergeCell ref="A35:B35"/>
    <mergeCell ref="D19:H19"/>
    <mergeCell ref="I19:M19"/>
    <mergeCell ref="J52:N52"/>
    <mergeCell ref="A44:B44"/>
    <mergeCell ref="D42:N42"/>
    <mergeCell ref="C37:I37"/>
    <mergeCell ref="A19:B19"/>
    <mergeCell ref="A42:B42"/>
    <mergeCell ref="E21:H21"/>
    <mergeCell ref="A39:B39"/>
    <mergeCell ref="F28:I28"/>
    <mergeCell ref="A33:B33"/>
    <mergeCell ref="D31:E31"/>
    <mergeCell ref="F31:L31"/>
  </mergeCells>
  <phoneticPr fontId="3" type="noConversion"/>
  <conditionalFormatting sqref="D19 C20 I20">
    <cfRule type="cellIs" dxfId="28" priority="7" stopIfTrue="1" operator="equal">
      <formula>"Nepostojeća ili neprepoznatljiva svrha predaje"</formula>
    </cfRule>
  </conditionalFormatting>
  <conditionalFormatting sqref="D50:D51 E51:G51">
    <cfRule type="cellIs" dxfId="27" priority="9" stopIfTrue="1" operator="equal">
      <formula>"Nepostojeća oznaka veličine"</formula>
    </cfRule>
  </conditionalFormatting>
  <conditionalFormatting sqref="D39:G39">
    <cfRule type="cellIs" dxfId="26" priority="12" stopIfTrue="1" operator="equal">
      <formula>"Šifra grada/općine ne postoji"</formula>
    </cfRule>
  </conditionalFormatting>
  <conditionalFormatting sqref="D52:H52">
    <cfRule type="cellIs" dxfId="25" priority="10" stopIfTrue="1" operator="equal">
      <formula>"Nepostojeća oznaka vlasništva"</formula>
    </cfRule>
  </conditionalFormatting>
  <conditionalFormatting sqref="D7:N7">
    <cfRule type="cellIs" dxfId="24" priority="11" stopIfTrue="1" operator="equal">
      <formula>"Upisana je nepostojeća ili neprepoznatljiva vrsta poslovnog subjekta"</formula>
    </cfRule>
  </conditionalFormatting>
  <conditionalFormatting sqref="D17:N18 N25 D26:N26">
    <cfRule type="cellIs" dxfId="23" priority="6" stopIfTrue="1" operator="equal">
      <formula>"Upisana je nepostojeća ili neprepoznatljiva vrsta izvještaja"</formula>
    </cfRule>
  </conditionalFormatting>
  <conditionalFormatting sqref="D42:N42">
    <cfRule type="cellIs" dxfId="22" priority="8" stopIfTrue="1" operator="equal">
      <formula>"Šifra NKD-a ne postoji"</formula>
    </cfRule>
  </conditionalFormatting>
  <conditionalFormatting sqref="D44:N44">
    <cfRule type="cellIs" dxfId="21" priority="5" stopIfTrue="1" operator="equal">
      <formula>"Upisana je nepostojeća ili neprepoznatljiva šifra statusa autonomnosti"</formula>
    </cfRule>
  </conditionalFormatting>
  <conditionalFormatting sqref="F4:G4">
    <cfRule type="cellIs" dxfId="20" priority="2" stopIfTrue="1" operator="lessThan">
      <formula>$C$4</formula>
    </cfRule>
  </conditionalFormatting>
  <conditionalFormatting sqref="H40:H41 H45 H47:H49 I52 I54 I56 I58 I60 I62 I64 I66 I68">
    <cfRule type="cellIs" dxfId="19" priority="1" stopIfTrue="1" operator="equal">
      <formula>"DA"</formula>
    </cfRule>
  </conditionalFormatting>
  <dataValidations count="28">
    <dataValidation type="textLength" allowBlank="1" showInputMessage="1" showErrorMessage="1" errorTitle="Neispravan matični broj" error="Osobni identifikacijski broj unosi se na 11 znamenaka. Ispravite unos." sqref="L21:M21" xr:uid="{00000000-0002-0000-0200-000000000000}">
      <formula1>11</formula1>
      <formula2>11</formula2>
    </dataValidation>
    <dataValidation type="textLength" allowBlank="1" showInputMessage="1" showErrorMessage="1" errorTitle="Neispravan matični broj" error="Matični broj unosi se na osam znamenaka s vodećim nulama. Matični broj mora biti brojevna vrijednost." sqref="H27:I27 B64" xr:uid="{00000000-0002-0000-0200-000001000000}">
      <formula1>8</formula1>
      <formula2>8</formula2>
    </dataValidation>
    <dataValidation type="whole" allowBlank="1" showInputMessage="1" showErrorMessage="1" errorTitle="Broj mjeseci poslovanja" error="Broj mjeseci poslovanja za jedan izvještaj može biti od 0 do 12." sqref="C60" xr:uid="{00000000-0002-0000-0200-000002000000}">
      <formula1>0</formula1>
      <formula2>12</formula2>
    </dataValidation>
    <dataValidation type="whole" allowBlank="1" showInputMessage="1" showErrorMessage="1" errorTitle="Nispravan postotak" error="Postotak udjela može biti cijeli broj u rasponu 1 do 100" sqref="F54 C54" xr:uid="{00000000-0002-0000-0200-000003000000}">
      <formula1>0</formula1>
      <formula2>100</formula2>
    </dataValidation>
    <dataValidation type="list" allowBlank="1" showInputMessage="1" showErrorMessage="1" errorTitle="Pogrešan upis" error="Potrebno je odabrati ili upisati velikim slovima DA ili NE." sqref="I56" xr:uid="{00000000-0002-0000-0200-000004000000}">
      <formula1>"DA,NE"</formula1>
    </dataValidation>
    <dataValidation type="list" allowBlank="1" showInputMessage="1" showErrorMessage="1" sqref="I58" xr:uid="{00000000-0002-0000-0200-000005000000}">
      <formula1>"DA,NE"</formula1>
    </dataValidation>
    <dataValidation type="list" allowBlank="1" showInputMessage="1" showErrorMessage="1" sqref="C52" xr:uid="{00000000-0002-0000-0200-000006000000}">
      <formula1>$A$81:$A$87</formula1>
    </dataValidation>
    <dataValidation type="list" allowBlank="1" showDropDown="1" showInputMessage="1" showErrorMessage="1" errorTitle="Pogrešna oznaka veličine" error="Oznaka veličine poduzetnika mora biti upisana (od 1 do 4)" sqref="C50" xr:uid="{00000000-0002-0000-0200-000007000000}">
      <formula1>$A$124:$A$127</formula1>
    </dataValidation>
    <dataValidation type="list" allowBlank="1" showInputMessage="1" showErrorMessage="1" errorTitle="Pogrešna svrha predaje" error="Svrha predaje je obavezan podatak i može biti samo 1, 2 ili 3" sqref="C19" xr:uid="{00000000-0002-0000-0200-000008000000}">
      <formula1>$A$118:$A$120</formula1>
    </dataValidation>
    <dataValidation type="list" allowBlank="1" showInputMessage="1" showErrorMessage="1" sqref="C46" xr:uid="{00000000-0002-0000-0200-000009000000}">
      <formula1>$A$1355:$A$1603</formula1>
    </dataValidation>
    <dataValidation type="whole" allowBlank="1" showInputMessage="1" showErrorMessage="1" errorTitle="Neispravan poštanski broj" error="Poštanski broj unosi se kao brojevna vrijednost u granicama primjenjivim u Hrvatskoj (10000 do 54000)" sqref="C31" xr:uid="{00000000-0002-0000-0200-00000A000000}">
      <formula1>10000</formula1>
      <formula2>54000</formula2>
    </dataValidation>
    <dataValidation type="list" allowBlank="1" showInputMessage="1" showErrorMessage="1" errorTitle="Pogrešna šifra grada/općine" error="Šifra grada/općine mora biti upisana i mora biti postojeća šifra" sqref="C39" xr:uid="{00000000-0002-0000-0200-00000B000000}">
      <formula1>$A$177:$A$732</formula1>
    </dataValidation>
    <dataValidation type="textLength" allowBlank="1" showInputMessage="1" showErrorMessage="1" errorTitle="Neispravan MBS" error="MBS se unosi na devet znamenaka s vodećim nulama. Matični broj mora biti brojevna vrijednost." sqref="M27:N27" xr:uid="{00000000-0002-0000-0200-00000C000000}">
      <formula1>9</formula1>
      <formula2>9</formula2>
    </dataValidation>
    <dataValidation type="date" operator="greaterThanOrEqual" allowBlank="1" showInputMessage="1" showErrorMessage="1" errorTitle="Pogrešan datum" error="Datum mora biti upisan kao datumska vrijednost u 2010. godini ili kasnije. Kod upisa datuma, dan i mjesec, te mjesec i godina odvajaju se točkom, ali se točka ne stavlja iza godine." sqref="F4:G4" xr:uid="{00000000-0002-0000-0200-00000D000000}">
      <formula1>40178</formula1>
    </dataValidation>
    <dataValidation type="date" operator="greaterThanOrEqual" allowBlank="1" showInputMessage="1" showErrorMessage="1" errorTitle="Pogrešan datum" error="Datum mora biti upisan kao datumska vrijednost nakon 01.01.2016. godine. Kod upisa datuma, dan i mjesec, te mjesec i godina odvajaju se točkom, ali se točka ne stavlja iza godine." sqref="C4:D4" xr:uid="{00000000-0002-0000-0200-00000E000000}">
      <formula1>42370</formula1>
    </dataValidation>
    <dataValidation type="list" allowBlank="1" showInputMessage="1" showErrorMessage="1" sqref="F12:G12" xr:uid="{00000000-0002-0000-0200-00000F000000}">
      <formula1>$Q$1:$Q$1</formula1>
    </dataValidation>
    <dataValidation type="list" allowBlank="1" showInputMessage="1" showErrorMessage="1" errorTitle="Pogrešna vrsta izvještaja" error="Vrsta izvještaja mora biti jedna od postojećih šifri, mora biti upisana" sqref="C17" xr:uid="{00000000-0002-0000-0200-000010000000}">
      <formula1>$A$142:$A$149</formula1>
    </dataValidation>
    <dataValidation type="list" allowBlank="1" showInputMessage="1" showErrorMessage="1" errorTitle="Neispravna šifra autonomnosti" error="Potrebno je upisati postojeću šifru autonomnosti - polje ne smije ostati prazno" sqref="C44" xr:uid="{00000000-0002-0000-0200-000011000000}">
      <formula1>$A$131:$A$138</formula1>
    </dataValidation>
    <dataValidation type="list" allowBlank="1" showInputMessage="1" showErrorMessage="1" sqref="C7" xr:uid="{00000000-0002-0000-0200-000012000000}">
      <formula1>$A$91:$A$107</formula1>
    </dataValidation>
    <dataValidation type="list" allowBlank="1" showInputMessage="1" showErrorMessage="1" errorTitle="Pogrešna šifra grada/općine" error="Šifra grada/općine mora biti upisana i mora biti postojeća šifra" sqref="C42" xr:uid="{00000000-0002-0000-0200-000013000000}">
      <formula1>$A$736:$A$1351</formula1>
    </dataValidation>
    <dataValidation type="list" allowBlank="1" showInputMessage="1" showErrorMessage="1" sqref="N19" xr:uid="{00000000-0002-0000-0200-000014000000}">
      <formula1>"HSFI,MSFI"</formula1>
    </dataValidation>
    <dataValidation type="list" showInputMessage="1" showErrorMessage="1" sqref="C21 I21" xr:uid="{00000000-0002-0000-0200-000015000000}">
      <formula1>"DA,NE"</formula1>
    </dataValidation>
    <dataValidation type="list" allowBlank="1" showInputMessage="1" showErrorMessage="1" errorTitle="Pogrešna oznaka veličine" error="Oznaka veličine poduzetnika mora biti upisana (od 1 do 4)" sqref="C23" xr:uid="{00000000-0002-0000-0200-000016000000}">
      <formula1>$A$111:$A$114</formula1>
    </dataValidation>
    <dataValidation type="list" showDropDown="1" showInputMessage="1" showErrorMessage="1" errorTitle="Pogrešan upis" error="Moguće je samo upisati DA ili NE. Samo poduzetnici koji kroz cijelu poslovnu godinu nisu imali ni prihoda ni rashoda upisuju NE." sqref="N6" xr:uid="{00000000-0002-0000-0200-000017000000}">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xr:uid="{00000000-0002-0000-0200-000018000000}">
      <formula1>9</formula1>
      <formula2>14</formula2>
    </dataValidation>
    <dataValidation type="list" allowBlank="1" showInputMessage="1" showErrorMessage="1" errorTitle="Pogrešan upis" error="Dopuštena je samo oznaka DA ili NE velikim slovima." sqref="I68 I64 I62 I66" xr:uid="{00000000-0002-0000-0200-000019000000}">
      <formula1>"DA,NE"</formula1>
    </dataValidation>
    <dataValidation type="list" allowBlank="1" showDropDown="1" showInputMessage="1" showErrorMessage="1" sqref="I54 I52 I60" xr:uid="{00000000-0002-0000-0200-00001A000000}">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60 mjeseci." sqref="F60" xr:uid="{00000000-0002-0000-0200-00001B000000}">
      <formula1>0</formula1>
      <formula2>60</formula2>
    </dataValidation>
  </dataValidations>
  <hyperlinks>
    <hyperlink ref="D1" location="Bilanca!A1" tooltip="Unos podataka u Bilancu" display="Bilanca" xr:uid="{00000000-0004-0000-0200-000000000000}"/>
    <hyperlink ref="C1" location="RefStr!A1" tooltip="Unos općih podataka na Referentnu stranicu" display="RefStr" xr:uid="{00000000-0004-0000-0200-000001000000}"/>
    <hyperlink ref="B1" location="Naslovna!A1" tooltip="Naslovna strana, unos općih podataka" display="Naslovna" xr:uid="{00000000-0004-0000-0200-000002000000}"/>
    <hyperlink ref="E1" location="RDG!A1" tooltip="Unos podataka u Račun dobiti i gubitka" display="RDG" xr:uid="{00000000-0004-0000-0200-000003000000}"/>
    <hyperlink ref="F1" location="Dodatni!A1" tooltip="Unos podataka u Dodatne podatke" display="PodDop" xr:uid="{00000000-0004-0000-0200-000004000000}"/>
    <hyperlink ref="G1" location="NT_I!A1" tooltip="Unos podataka u Novčani tijek po indirektnoj metodi" display="NT_I" xr:uid="{00000000-0004-0000-0200-000005000000}"/>
    <hyperlink ref="H1" location="NT_D!A1" tooltip="Unos podataka u Novčani tijek po direktnoj metodi" display="NT_D" xr:uid="{00000000-0004-0000-0200-000006000000}"/>
    <hyperlink ref="J1" location="Kont!A1" tooltip="Provjera pogrešaka i upozorenja na radnom listu Kontrole" display="Kont" xr:uid="{00000000-0004-0000-0200-000007000000}"/>
    <hyperlink ref="I1" location="PK!A1" tooltip="Unos podataka u obrazac Promjene kapitala" display="PK" xr:uid="{00000000-0004-0000-0200-000008000000}"/>
  </hyperlinks>
  <printOptions horizontalCentered="1" verticalCentered="1"/>
  <pageMargins left="0.39370078740157483" right="0.39370078740157483" top="0.59055118110236227" bottom="0.59055118110236227" header="0.39370078740157483" footer="0.39370078740157483"/>
  <pageSetup paperSize="9" scale="94"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R70"/>
  <sheetViews>
    <sheetView showGridLines="0" showRowColHeaders="0" workbookViewId="0"/>
  </sheetViews>
  <sheetFormatPr defaultColWidth="0" defaultRowHeight="11.4" zeroHeight="1" x14ac:dyDescent="0.25"/>
  <cols>
    <col min="1" max="6" width="9.109375" style="1" customWidth="1"/>
    <col min="7" max="8" width="5.6640625" style="2" customWidth="1"/>
    <col min="9" max="10" width="14.6640625" style="2" customWidth="1"/>
    <col min="11" max="11" width="0.88671875" style="2" customWidth="1"/>
    <col min="12" max="12" width="8.6640625" style="2" hidden="1" customWidth="1"/>
    <col min="13" max="14" width="9.5546875" style="2" hidden="1" customWidth="1"/>
    <col min="15" max="16384" width="9.33203125" style="2" hidden="1"/>
  </cols>
  <sheetData>
    <row r="1" spans="1:18" ht="24.9" customHeight="1" thickBot="1" x14ac:dyDescent="0.3">
      <c r="A1" s="93" t="s">
        <v>114</v>
      </c>
      <c r="B1" s="50" t="s">
        <v>115</v>
      </c>
      <c r="C1" s="50" t="s">
        <v>116</v>
      </c>
      <c r="D1" s="50" t="s">
        <v>117</v>
      </c>
      <c r="E1" s="50" t="s">
        <v>96</v>
      </c>
      <c r="F1" s="50" t="s">
        <v>118</v>
      </c>
      <c r="G1" s="50" t="s">
        <v>119</v>
      </c>
      <c r="H1" s="50" t="s">
        <v>120</v>
      </c>
      <c r="I1" s="50" t="s">
        <v>113</v>
      </c>
      <c r="J1" s="51" t="s">
        <v>121</v>
      </c>
      <c r="Q1" s="54">
        <f>MAX(Q2:Q3)</f>
        <v>0</v>
      </c>
      <c r="R1" s="53" t="s">
        <v>2328</v>
      </c>
    </row>
    <row r="2" spans="1:18" ht="20.100000000000001" customHeight="1" x14ac:dyDescent="0.25">
      <c r="A2" s="364" t="s">
        <v>2329</v>
      </c>
      <c r="B2" s="365"/>
      <c r="C2" s="365"/>
      <c r="D2" s="365"/>
      <c r="E2" s="365"/>
      <c r="F2" s="365"/>
      <c r="G2" s="365"/>
      <c r="H2" s="365"/>
      <c r="I2" s="366"/>
      <c r="J2" s="362" t="s">
        <v>2330</v>
      </c>
      <c r="Q2" s="54">
        <f>IF(OR(MIN(I9:I69)&lt;0,MAX(I9:I69)&gt;0),1,0)</f>
        <v>0</v>
      </c>
      <c r="R2" s="53" t="s">
        <v>2331</v>
      </c>
    </row>
    <row r="3" spans="1:18" ht="20.100000000000001" customHeight="1" thickBot="1" x14ac:dyDescent="0.3">
      <c r="A3" s="367" t="str">
        <f xml:space="preserve"> "stanje na dan " &amp; IF(RefStr!F4&lt;&gt;"", TEXT(RefStr!F4, "DD.MM.YYYY."),"__.__.____.")</f>
        <v>stanje na dan __.__.____.</v>
      </c>
      <c r="B3" s="368"/>
      <c r="C3" s="368"/>
      <c r="D3" s="368"/>
      <c r="E3" s="368"/>
      <c r="F3" s="368"/>
      <c r="G3" s="368"/>
      <c r="H3" s="368"/>
      <c r="I3" s="369"/>
      <c r="J3" s="363"/>
      <c r="Q3" s="54">
        <f>IF(OR(MIN(J9:J69)&lt;0,MAX(J9:J69)&gt;0),1,0)</f>
        <v>0</v>
      </c>
      <c r="R3" s="53" t="s">
        <v>2332</v>
      </c>
    </row>
    <row r="4" spans="1:18" ht="15.9" customHeight="1" x14ac:dyDescent="0.25">
      <c r="A4" s="162"/>
      <c r="B4" s="55"/>
      <c r="C4" s="55"/>
      <c r="D4" s="55"/>
      <c r="E4" s="55"/>
      <c r="F4" s="55"/>
      <c r="G4" s="55"/>
      <c r="H4" s="55"/>
      <c r="I4" s="373" t="str">
        <f>IF(YEAR(RefStr!F4)&gt;2022,"Iznosi u eurima i centima", "Iznosi u kunama bez lipa")</f>
        <v>Iznosi u kunama bez lipa</v>
      </c>
      <c r="J4" s="374"/>
    </row>
    <row r="5" spans="1:18" ht="20.100000000000001" customHeight="1" x14ac:dyDescent="0.25">
      <c r="A5" s="370"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371"/>
      <c r="C5" s="371"/>
      <c r="D5" s="371"/>
      <c r="E5" s="371"/>
      <c r="F5" s="371"/>
      <c r="G5" s="371"/>
      <c r="H5" s="371"/>
      <c r="I5" s="371"/>
      <c r="J5" s="372"/>
      <c r="Q5" s="2">
        <f>IF(OR(MIN(I68:I69)&lt;0,MAX(I68:I69)),1,0)</f>
        <v>0</v>
      </c>
      <c r="R5" s="53" t="s">
        <v>2333</v>
      </c>
    </row>
    <row r="6" spans="1:18" ht="24.75" customHeight="1" thickBot="1" x14ac:dyDescent="0.3">
      <c r="A6" s="375" t="s">
        <v>2334</v>
      </c>
      <c r="B6" s="376"/>
      <c r="C6" s="376"/>
      <c r="D6" s="376"/>
      <c r="E6" s="376"/>
      <c r="F6" s="376"/>
      <c r="G6" s="61" t="s">
        <v>2335</v>
      </c>
      <c r="H6" s="63" t="s">
        <v>2336</v>
      </c>
      <c r="I6" s="63" t="s">
        <v>2337</v>
      </c>
      <c r="J6" s="64" t="s">
        <v>2338</v>
      </c>
      <c r="Q6" s="2">
        <f>IF(OR(MIN(J68:J69)&lt;0,MAX(J68:J69)),1,0)</f>
        <v>0</v>
      </c>
      <c r="R6" s="53" t="s">
        <v>2339</v>
      </c>
    </row>
    <row r="7" spans="1:18" ht="14.1" customHeight="1" x14ac:dyDescent="0.25">
      <c r="A7" s="377">
        <v>1</v>
      </c>
      <c r="B7" s="378"/>
      <c r="C7" s="378"/>
      <c r="D7" s="378"/>
      <c r="E7" s="378"/>
      <c r="F7" s="378"/>
      <c r="G7" s="66">
        <v>2</v>
      </c>
      <c r="H7" s="66">
        <v>3</v>
      </c>
      <c r="I7" s="65">
        <v>4</v>
      </c>
      <c r="J7" s="67">
        <v>5</v>
      </c>
    </row>
    <row r="8" spans="1:18" ht="14.1" customHeight="1" x14ac:dyDescent="0.25">
      <c r="A8" s="380" t="s">
        <v>2340</v>
      </c>
      <c r="B8" s="381"/>
      <c r="C8" s="381"/>
      <c r="D8" s="381"/>
      <c r="E8" s="381"/>
      <c r="F8" s="381"/>
      <c r="G8" s="381"/>
      <c r="H8" s="381"/>
      <c r="I8" s="381"/>
      <c r="J8" s="381"/>
    </row>
    <row r="9" spans="1:18" ht="15" customHeight="1" x14ac:dyDescent="0.25">
      <c r="A9" s="351" t="s">
        <v>2341</v>
      </c>
      <c r="B9" s="351"/>
      <c r="C9" s="351"/>
      <c r="D9" s="351"/>
      <c r="E9" s="351"/>
      <c r="F9" s="351"/>
      <c r="G9" s="15">
        <v>1</v>
      </c>
      <c r="H9" s="16"/>
      <c r="I9" s="198">
        <f>ROUND(I10+SUM(I13:I22),2)</f>
        <v>0</v>
      </c>
      <c r="J9" s="198">
        <f>ROUND(J10+SUM(J13:J22),2)</f>
        <v>0</v>
      </c>
      <c r="L9" s="2" t="s">
        <v>2342</v>
      </c>
      <c r="O9" s="54"/>
    </row>
    <row r="10" spans="1:18" ht="15" customHeight="1" x14ac:dyDescent="0.25">
      <c r="A10" s="360" t="s">
        <v>2343</v>
      </c>
      <c r="B10" s="360"/>
      <c r="C10" s="360"/>
      <c r="D10" s="360"/>
      <c r="E10" s="360"/>
      <c r="F10" s="360"/>
      <c r="G10" s="15">
        <v>2</v>
      </c>
      <c r="H10" s="16"/>
      <c r="I10" s="198">
        <f>ROUND(SUM(I11:I12),2)</f>
        <v>0</v>
      </c>
      <c r="J10" s="198">
        <f>ROUND(SUM(J11:J12),2)</f>
        <v>0</v>
      </c>
      <c r="L10" s="2" t="s">
        <v>2342</v>
      </c>
    </row>
    <row r="11" spans="1:18" ht="15" customHeight="1" x14ac:dyDescent="0.25">
      <c r="A11" s="379" t="s">
        <v>2344</v>
      </c>
      <c r="B11" s="379"/>
      <c r="C11" s="379"/>
      <c r="D11" s="379"/>
      <c r="E11" s="379"/>
      <c r="F11" s="379"/>
      <c r="G11" s="15">
        <v>3</v>
      </c>
      <c r="H11" s="16"/>
      <c r="I11" s="199"/>
      <c r="J11" s="199"/>
      <c r="L11" s="2" t="s">
        <v>2342</v>
      </c>
    </row>
    <row r="12" spans="1:18" ht="15" customHeight="1" x14ac:dyDescent="0.25">
      <c r="A12" s="379" t="s">
        <v>2345</v>
      </c>
      <c r="B12" s="379"/>
      <c r="C12" s="379"/>
      <c r="D12" s="379"/>
      <c r="E12" s="379"/>
      <c r="F12" s="379"/>
      <c r="G12" s="15">
        <v>4</v>
      </c>
      <c r="H12" s="16"/>
      <c r="I12" s="199"/>
      <c r="J12" s="199"/>
      <c r="L12" s="2" t="s">
        <v>2342</v>
      </c>
    </row>
    <row r="13" spans="1:18" ht="15" customHeight="1" x14ac:dyDescent="0.25">
      <c r="A13" s="360" t="s">
        <v>2346</v>
      </c>
      <c r="B13" s="360"/>
      <c r="C13" s="360"/>
      <c r="D13" s="360"/>
      <c r="E13" s="360"/>
      <c r="F13" s="360"/>
      <c r="G13" s="15">
        <v>5</v>
      </c>
      <c r="H13" s="16"/>
      <c r="I13" s="199"/>
      <c r="J13" s="199"/>
      <c r="L13" s="2" t="s">
        <v>2342</v>
      </c>
    </row>
    <row r="14" spans="1:18" ht="15" customHeight="1" x14ac:dyDescent="0.25">
      <c r="A14" s="360" t="s">
        <v>2347</v>
      </c>
      <c r="B14" s="360"/>
      <c r="C14" s="360"/>
      <c r="D14" s="360"/>
      <c r="E14" s="360"/>
      <c r="F14" s="360"/>
      <c r="G14" s="15">
        <v>6</v>
      </c>
      <c r="H14" s="16"/>
      <c r="I14" s="199"/>
      <c r="J14" s="199"/>
      <c r="L14" s="2" t="s">
        <v>2342</v>
      </c>
    </row>
    <row r="15" spans="1:18" ht="15" customHeight="1" x14ac:dyDescent="0.25">
      <c r="A15" s="360" t="s">
        <v>2348</v>
      </c>
      <c r="B15" s="360"/>
      <c r="C15" s="360"/>
      <c r="D15" s="360"/>
      <c r="E15" s="360"/>
      <c r="F15" s="360"/>
      <c r="G15" s="15">
        <v>7</v>
      </c>
      <c r="H15" s="16"/>
      <c r="I15" s="199"/>
      <c r="J15" s="199"/>
      <c r="L15" s="2" t="s">
        <v>2342</v>
      </c>
    </row>
    <row r="16" spans="1:18" ht="15" customHeight="1" x14ac:dyDescent="0.25">
      <c r="A16" s="360" t="s">
        <v>2349</v>
      </c>
      <c r="B16" s="360"/>
      <c r="C16" s="360"/>
      <c r="D16" s="360"/>
      <c r="E16" s="360"/>
      <c r="F16" s="360"/>
      <c r="G16" s="15">
        <v>8</v>
      </c>
      <c r="H16" s="16"/>
      <c r="I16" s="199"/>
      <c r="J16" s="199"/>
      <c r="L16" s="2" t="s">
        <v>2342</v>
      </c>
    </row>
    <row r="17" spans="1:12" ht="15" customHeight="1" x14ac:dyDescent="0.25">
      <c r="A17" s="360" t="s">
        <v>2350</v>
      </c>
      <c r="B17" s="360"/>
      <c r="C17" s="360"/>
      <c r="D17" s="360"/>
      <c r="E17" s="360"/>
      <c r="F17" s="360"/>
      <c r="G17" s="15">
        <v>9</v>
      </c>
      <c r="H17" s="16"/>
      <c r="I17" s="199"/>
      <c r="J17" s="199"/>
      <c r="L17" s="2" t="s">
        <v>2342</v>
      </c>
    </row>
    <row r="18" spans="1:12" ht="15" customHeight="1" x14ac:dyDescent="0.25">
      <c r="A18" s="360" t="s">
        <v>2351</v>
      </c>
      <c r="B18" s="360"/>
      <c r="C18" s="360"/>
      <c r="D18" s="360"/>
      <c r="E18" s="360"/>
      <c r="F18" s="360"/>
      <c r="G18" s="15">
        <v>10</v>
      </c>
      <c r="H18" s="16"/>
      <c r="I18" s="199"/>
      <c r="J18" s="199"/>
      <c r="L18" s="2" t="s">
        <v>2342</v>
      </c>
    </row>
    <row r="19" spans="1:12" ht="15" customHeight="1" x14ac:dyDescent="0.25">
      <c r="A19" s="360" t="s">
        <v>2352</v>
      </c>
      <c r="B19" s="360"/>
      <c r="C19" s="360"/>
      <c r="D19" s="360"/>
      <c r="E19" s="360"/>
      <c r="F19" s="360"/>
      <c r="G19" s="15">
        <v>11</v>
      </c>
      <c r="H19" s="16"/>
      <c r="I19" s="199"/>
      <c r="J19" s="199"/>
      <c r="L19" s="2" t="s">
        <v>2342</v>
      </c>
    </row>
    <row r="20" spans="1:12" ht="15" customHeight="1" x14ac:dyDescent="0.25">
      <c r="A20" s="360" t="s">
        <v>2353</v>
      </c>
      <c r="B20" s="360"/>
      <c r="C20" s="360"/>
      <c r="D20" s="360"/>
      <c r="E20" s="360"/>
      <c r="F20" s="360"/>
      <c r="G20" s="15">
        <v>12</v>
      </c>
      <c r="H20" s="16"/>
      <c r="I20" s="199"/>
      <c r="J20" s="199"/>
      <c r="L20" s="2" t="s">
        <v>2342</v>
      </c>
    </row>
    <row r="21" spans="1:12" ht="15" customHeight="1" x14ac:dyDescent="0.25">
      <c r="A21" s="360" t="s">
        <v>2354</v>
      </c>
      <c r="B21" s="360"/>
      <c r="C21" s="360"/>
      <c r="D21" s="360"/>
      <c r="E21" s="360"/>
      <c r="F21" s="360"/>
      <c r="G21" s="15">
        <v>13</v>
      </c>
      <c r="H21" s="16"/>
      <c r="I21" s="199"/>
      <c r="J21" s="199"/>
      <c r="L21" s="2" t="s">
        <v>2342</v>
      </c>
    </row>
    <row r="22" spans="1:12" ht="15" customHeight="1" x14ac:dyDescent="0.25">
      <c r="A22" s="360" t="s">
        <v>2355</v>
      </c>
      <c r="B22" s="360"/>
      <c r="C22" s="360"/>
      <c r="D22" s="360"/>
      <c r="E22" s="360"/>
      <c r="F22" s="360"/>
      <c r="G22" s="15">
        <v>14</v>
      </c>
      <c r="H22" s="16"/>
      <c r="I22" s="199"/>
      <c r="J22" s="199"/>
      <c r="L22" s="2" t="s">
        <v>2342</v>
      </c>
    </row>
    <row r="23" spans="1:12" ht="15" customHeight="1" x14ac:dyDescent="0.25">
      <c r="A23" s="351" t="s">
        <v>2356</v>
      </c>
      <c r="B23" s="351"/>
      <c r="C23" s="351"/>
      <c r="D23" s="351"/>
      <c r="E23" s="351"/>
      <c r="F23" s="351"/>
      <c r="G23" s="15">
        <v>15</v>
      </c>
      <c r="H23" s="16"/>
      <c r="I23" s="198">
        <f>ROUND(SUM(I24:I26),2)</f>
        <v>0</v>
      </c>
      <c r="J23" s="198">
        <f>ROUND(SUM(J24:J26),2)</f>
        <v>0</v>
      </c>
      <c r="L23" s="2" t="s">
        <v>2342</v>
      </c>
    </row>
    <row r="24" spans="1:12" ht="15" customHeight="1" x14ac:dyDescent="0.25">
      <c r="A24" s="360" t="s">
        <v>2357</v>
      </c>
      <c r="B24" s="360"/>
      <c r="C24" s="360"/>
      <c r="D24" s="360"/>
      <c r="E24" s="360"/>
      <c r="F24" s="360"/>
      <c r="G24" s="15">
        <v>16</v>
      </c>
      <c r="H24" s="16"/>
      <c r="I24" s="199"/>
      <c r="J24" s="199"/>
      <c r="L24" s="2" t="s">
        <v>2342</v>
      </c>
    </row>
    <row r="25" spans="1:12" ht="15" customHeight="1" x14ac:dyDescent="0.25">
      <c r="A25" s="360" t="s">
        <v>2358</v>
      </c>
      <c r="B25" s="360"/>
      <c r="C25" s="360"/>
      <c r="D25" s="360"/>
      <c r="E25" s="360"/>
      <c r="F25" s="360"/>
      <c r="G25" s="15">
        <v>17</v>
      </c>
      <c r="H25" s="16"/>
      <c r="I25" s="199"/>
      <c r="J25" s="199"/>
      <c r="L25" s="2" t="s">
        <v>2342</v>
      </c>
    </row>
    <row r="26" spans="1:12" ht="15" customHeight="1" x14ac:dyDescent="0.25">
      <c r="A26" s="360" t="s">
        <v>2359</v>
      </c>
      <c r="B26" s="360"/>
      <c r="C26" s="360"/>
      <c r="D26" s="360"/>
      <c r="E26" s="360"/>
      <c r="F26" s="360"/>
      <c r="G26" s="15">
        <v>18</v>
      </c>
      <c r="H26" s="16"/>
      <c r="I26" s="199"/>
      <c r="J26" s="199"/>
      <c r="L26" s="2" t="s">
        <v>2342</v>
      </c>
    </row>
    <row r="27" spans="1:12" ht="15" customHeight="1" x14ac:dyDescent="0.25">
      <c r="A27" s="351" t="s">
        <v>2360</v>
      </c>
      <c r="B27" s="351"/>
      <c r="C27" s="351"/>
      <c r="D27" s="351"/>
      <c r="E27" s="351"/>
      <c r="F27" s="351"/>
      <c r="G27" s="15">
        <v>19</v>
      </c>
      <c r="H27" s="16"/>
      <c r="I27" s="198">
        <f>ROUND(SUM(I28:I31),2)</f>
        <v>0</v>
      </c>
      <c r="J27" s="198">
        <f>ROUND(SUM(J28:J31),2)</f>
        <v>0</v>
      </c>
      <c r="L27" s="2" t="s">
        <v>2342</v>
      </c>
    </row>
    <row r="28" spans="1:12" ht="15" customHeight="1" x14ac:dyDescent="0.25">
      <c r="A28" s="360" t="s">
        <v>2361</v>
      </c>
      <c r="B28" s="360"/>
      <c r="C28" s="360"/>
      <c r="D28" s="360"/>
      <c r="E28" s="360"/>
      <c r="F28" s="360"/>
      <c r="G28" s="15">
        <v>20</v>
      </c>
      <c r="H28" s="16"/>
      <c r="I28" s="199"/>
      <c r="J28" s="199"/>
      <c r="L28" s="2" t="s">
        <v>2342</v>
      </c>
    </row>
    <row r="29" spans="1:12" ht="15" customHeight="1" x14ac:dyDescent="0.25">
      <c r="A29" s="360" t="s">
        <v>2362</v>
      </c>
      <c r="B29" s="360"/>
      <c r="C29" s="360"/>
      <c r="D29" s="360"/>
      <c r="E29" s="360"/>
      <c r="F29" s="360"/>
      <c r="G29" s="15">
        <v>21</v>
      </c>
      <c r="H29" s="16"/>
      <c r="I29" s="199"/>
      <c r="J29" s="199"/>
      <c r="L29" s="2" t="s">
        <v>2342</v>
      </c>
    </row>
    <row r="30" spans="1:12" ht="15" customHeight="1" x14ac:dyDescent="0.25">
      <c r="A30" s="360" t="s">
        <v>2363</v>
      </c>
      <c r="B30" s="360"/>
      <c r="C30" s="360"/>
      <c r="D30" s="360"/>
      <c r="E30" s="360"/>
      <c r="F30" s="360"/>
      <c r="G30" s="15">
        <v>22</v>
      </c>
      <c r="H30" s="16"/>
      <c r="I30" s="199"/>
      <c r="J30" s="199"/>
      <c r="L30" s="2" t="s">
        <v>2342</v>
      </c>
    </row>
    <row r="31" spans="1:12" ht="15" customHeight="1" x14ac:dyDescent="0.25">
      <c r="A31" s="360" t="s">
        <v>2364</v>
      </c>
      <c r="B31" s="360"/>
      <c r="C31" s="360"/>
      <c r="D31" s="360"/>
      <c r="E31" s="360"/>
      <c r="F31" s="360"/>
      <c r="G31" s="15">
        <v>23</v>
      </c>
      <c r="H31" s="16"/>
      <c r="I31" s="199"/>
      <c r="J31" s="199"/>
      <c r="L31" s="2" t="s">
        <v>2342</v>
      </c>
    </row>
    <row r="32" spans="1:12" ht="15" customHeight="1" x14ac:dyDescent="0.25">
      <c r="A32" s="351" t="s">
        <v>2365</v>
      </c>
      <c r="B32" s="351"/>
      <c r="C32" s="351"/>
      <c r="D32" s="351"/>
      <c r="E32" s="351"/>
      <c r="F32" s="351"/>
      <c r="G32" s="15">
        <v>24</v>
      </c>
      <c r="H32" s="16"/>
      <c r="I32" s="199"/>
      <c r="J32" s="199"/>
      <c r="L32" s="2" t="s">
        <v>2342</v>
      </c>
    </row>
    <row r="33" spans="1:12" ht="15" customHeight="1" x14ac:dyDescent="0.25">
      <c r="A33" s="361" t="s">
        <v>2366</v>
      </c>
      <c r="B33" s="361"/>
      <c r="C33" s="361"/>
      <c r="D33" s="361"/>
      <c r="E33" s="361"/>
      <c r="F33" s="361"/>
      <c r="G33" s="15">
        <v>25</v>
      </c>
      <c r="H33" s="16"/>
      <c r="I33" s="198">
        <f>ROUND(I9+I23+I27+I32,2)</f>
        <v>0</v>
      </c>
      <c r="J33" s="198">
        <f>ROUND(J9+J23+J27+J32,2)</f>
        <v>0</v>
      </c>
      <c r="L33" s="2" t="s">
        <v>2342</v>
      </c>
    </row>
    <row r="34" spans="1:12" ht="15" customHeight="1" x14ac:dyDescent="0.25">
      <c r="A34" s="352" t="s">
        <v>2367</v>
      </c>
      <c r="B34" s="352"/>
      <c r="C34" s="352"/>
      <c r="D34" s="352"/>
      <c r="E34" s="352"/>
      <c r="F34" s="352"/>
      <c r="G34" s="15">
        <v>26</v>
      </c>
      <c r="H34" s="16"/>
      <c r="I34" s="199"/>
      <c r="J34" s="199"/>
      <c r="L34" s="2" t="s">
        <v>2342</v>
      </c>
    </row>
    <row r="35" spans="1:12" ht="14.1" customHeight="1" x14ac:dyDescent="0.25">
      <c r="A35" s="380" t="s">
        <v>2368</v>
      </c>
      <c r="B35" s="382"/>
      <c r="C35" s="382"/>
      <c r="D35" s="382"/>
      <c r="E35" s="382"/>
      <c r="F35" s="382"/>
      <c r="G35" s="382"/>
      <c r="H35" s="382"/>
      <c r="I35" s="382"/>
      <c r="J35" s="382"/>
    </row>
    <row r="36" spans="1:12" ht="15" customHeight="1" x14ac:dyDescent="0.25">
      <c r="A36" s="351" t="s">
        <v>2369</v>
      </c>
      <c r="B36" s="351"/>
      <c r="C36" s="351"/>
      <c r="D36" s="351"/>
      <c r="E36" s="351"/>
      <c r="F36" s="351"/>
      <c r="G36" s="15">
        <v>27</v>
      </c>
      <c r="H36" s="16"/>
      <c r="I36" s="198">
        <f>ROUND(SUM(I37:I43),2)</f>
        <v>0</v>
      </c>
      <c r="J36" s="198">
        <f>ROUND(SUM(J37:J43),2)</f>
        <v>0</v>
      </c>
      <c r="L36" s="2" t="s">
        <v>2342</v>
      </c>
    </row>
    <row r="37" spans="1:12" ht="15" customHeight="1" x14ac:dyDescent="0.25">
      <c r="A37" s="360" t="s">
        <v>2370</v>
      </c>
      <c r="B37" s="360"/>
      <c r="C37" s="360"/>
      <c r="D37" s="360"/>
      <c r="E37" s="360"/>
      <c r="F37" s="360"/>
      <c r="G37" s="15">
        <v>28</v>
      </c>
      <c r="H37" s="16"/>
      <c r="I37" s="199"/>
      <c r="J37" s="199"/>
      <c r="L37" s="2" t="s">
        <v>2342</v>
      </c>
    </row>
    <row r="38" spans="1:12" ht="15" customHeight="1" x14ac:dyDescent="0.25">
      <c r="A38" s="360" t="s">
        <v>2371</v>
      </c>
      <c r="B38" s="360"/>
      <c r="C38" s="360"/>
      <c r="D38" s="360"/>
      <c r="E38" s="360"/>
      <c r="F38" s="360"/>
      <c r="G38" s="15">
        <v>29</v>
      </c>
      <c r="H38" s="16"/>
      <c r="I38" s="199"/>
      <c r="J38" s="199"/>
      <c r="L38" s="2" t="s">
        <v>2342</v>
      </c>
    </row>
    <row r="39" spans="1:12" ht="15" customHeight="1" x14ac:dyDescent="0.25">
      <c r="A39" s="360" t="s">
        <v>2372</v>
      </c>
      <c r="B39" s="360"/>
      <c r="C39" s="360"/>
      <c r="D39" s="360"/>
      <c r="E39" s="360"/>
      <c r="F39" s="360"/>
      <c r="G39" s="15">
        <v>30</v>
      </c>
      <c r="H39" s="16"/>
      <c r="I39" s="199"/>
      <c r="J39" s="199"/>
      <c r="L39" s="2" t="s">
        <v>2342</v>
      </c>
    </row>
    <row r="40" spans="1:12" ht="15" customHeight="1" x14ac:dyDescent="0.25">
      <c r="A40" s="360" t="s">
        <v>2373</v>
      </c>
      <c r="B40" s="360"/>
      <c r="C40" s="360"/>
      <c r="D40" s="360"/>
      <c r="E40" s="360"/>
      <c r="F40" s="360"/>
      <c r="G40" s="15">
        <v>31</v>
      </c>
      <c r="H40" s="16"/>
      <c r="I40" s="199"/>
      <c r="J40" s="199"/>
      <c r="L40" s="2" t="s">
        <v>2342</v>
      </c>
    </row>
    <row r="41" spans="1:12" ht="15" customHeight="1" x14ac:dyDescent="0.25">
      <c r="A41" s="360" t="s">
        <v>2374</v>
      </c>
      <c r="B41" s="360"/>
      <c r="C41" s="360"/>
      <c r="D41" s="360"/>
      <c r="E41" s="360"/>
      <c r="F41" s="360"/>
      <c r="G41" s="15">
        <v>32</v>
      </c>
      <c r="H41" s="16"/>
      <c r="I41" s="199"/>
      <c r="J41" s="199"/>
      <c r="L41" s="2" t="s">
        <v>2342</v>
      </c>
    </row>
    <row r="42" spans="1:12" ht="15" customHeight="1" x14ac:dyDescent="0.25">
      <c r="A42" s="360" t="s">
        <v>2375</v>
      </c>
      <c r="B42" s="360"/>
      <c r="C42" s="360"/>
      <c r="D42" s="360"/>
      <c r="E42" s="360"/>
      <c r="F42" s="360"/>
      <c r="G42" s="15">
        <v>33</v>
      </c>
      <c r="H42" s="16"/>
      <c r="I42" s="199"/>
      <c r="J42" s="199"/>
      <c r="L42" s="2" t="s">
        <v>2342</v>
      </c>
    </row>
    <row r="43" spans="1:12" ht="15" customHeight="1" x14ac:dyDescent="0.25">
      <c r="A43" s="360" t="s">
        <v>2376</v>
      </c>
      <c r="B43" s="360"/>
      <c r="C43" s="360"/>
      <c r="D43" s="360"/>
      <c r="E43" s="360"/>
      <c r="F43" s="360"/>
      <c r="G43" s="15">
        <v>34</v>
      </c>
      <c r="H43" s="16"/>
      <c r="I43" s="199"/>
      <c r="J43" s="199"/>
      <c r="L43" s="2" t="s">
        <v>2342</v>
      </c>
    </row>
    <row r="44" spans="1:12" ht="15" customHeight="1" x14ac:dyDescent="0.25">
      <c r="A44" s="351" t="s">
        <v>2377</v>
      </c>
      <c r="B44" s="351"/>
      <c r="C44" s="351"/>
      <c r="D44" s="351"/>
      <c r="E44" s="351"/>
      <c r="F44" s="351"/>
      <c r="G44" s="15">
        <v>35</v>
      </c>
      <c r="H44" s="16"/>
      <c r="I44" s="198">
        <f>ROUND(SUM(I45:I46),2)</f>
        <v>0</v>
      </c>
      <c r="J44" s="198">
        <f>ROUND(SUM(J45:J46),2)</f>
        <v>0</v>
      </c>
      <c r="L44" s="2" t="s">
        <v>2342</v>
      </c>
    </row>
    <row r="45" spans="1:12" ht="15" customHeight="1" x14ac:dyDescent="0.25">
      <c r="A45" s="360" t="s">
        <v>2378</v>
      </c>
      <c r="B45" s="360"/>
      <c r="C45" s="360"/>
      <c r="D45" s="360"/>
      <c r="E45" s="360"/>
      <c r="F45" s="360"/>
      <c r="G45" s="15">
        <v>36</v>
      </c>
      <c r="H45" s="16"/>
      <c r="I45" s="199"/>
      <c r="J45" s="199"/>
      <c r="L45" s="2" t="s">
        <v>2342</v>
      </c>
    </row>
    <row r="46" spans="1:12" ht="15" customHeight="1" x14ac:dyDescent="0.25">
      <c r="A46" s="360" t="s">
        <v>2379</v>
      </c>
      <c r="B46" s="360"/>
      <c r="C46" s="360"/>
      <c r="D46" s="360"/>
      <c r="E46" s="360"/>
      <c r="F46" s="360"/>
      <c r="G46" s="15">
        <v>37</v>
      </c>
      <c r="H46" s="16"/>
      <c r="I46" s="199"/>
      <c r="J46" s="199"/>
      <c r="L46" s="2" t="s">
        <v>2342</v>
      </c>
    </row>
    <row r="47" spans="1:12" ht="15" customHeight="1" x14ac:dyDescent="0.25">
      <c r="A47" s="351" t="s">
        <v>2380</v>
      </c>
      <c r="B47" s="351"/>
      <c r="C47" s="351"/>
      <c r="D47" s="351"/>
      <c r="E47" s="351"/>
      <c r="F47" s="351"/>
      <c r="G47" s="15">
        <v>38</v>
      </c>
      <c r="H47" s="16"/>
      <c r="I47" s="198">
        <f>ROUND(SUM(I48:I50),2)</f>
        <v>0</v>
      </c>
      <c r="J47" s="198">
        <f>ROUND(SUM(J48:J50),2)</f>
        <v>0</v>
      </c>
      <c r="L47" s="2" t="s">
        <v>2342</v>
      </c>
    </row>
    <row r="48" spans="1:12" ht="15" customHeight="1" x14ac:dyDescent="0.25">
      <c r="A48" s="360" t="s">
        <v>2381</v>
      </c>
      <c r="B48" s="360"/>
      <c r="C48" s="360"/>
      <c r="D48" s="360"/>
      <c r="E48" s="360"/>
      <c r="F48" s="360"/>
      <c r="G48" s="15">
        <v>39</v>
      </c>
      <c r="H48" s="16"/>
      <c r="I48" s="199"/>
      <c r="J48" s="199"/>
      <c r="L48" s="2" t="s">
        <v>2342</v>
      </c>
    </row>
    <row r="49" spans="1:12" ht="15" customHeight="1" x14ac:dyDescent="0.25">
      <c r="A49" s="360" t="s">
        <v>2382</v>
      </c>
      <c r="B49" s="360"/>
      <c r="C49" s="360"/>
      <c r="D49" s="360"/>
      <c r="E49" s="360"/>
      <c r="F49" s="360"/>
      <c r="G49" s="15">
        <v>40</v>
      </c>
      <c r="H49" s="16"/>
      <c r="I49" s="199"/>
      <c r="J49" s="199"/>
      <c r="L49" s="2" t="s">
        <v>2342</v>
      </c>
    </row>
    <row r="50" spans="1:12" ht="15" customHeight="1" x14ac:dyDescent="0.25">
      <c r="A50" s="360" t="s">
        <v>2383</v>
      </c>
      <c r="B50" s="360"/>
      <c r="C50" s="360"/>
      <c r="D50" s="360"/>
      <c r="E50" s="360"/>
      <c r="F50" s="360"/>
      <c r="G50" s="15">
        <v>41</v>
      </c>
      <c r="H50" s="16"/>
      <c r="I50" s="199"/>
      <c r="J50" s="199"/>
      <c r="L50" s="2" t="s">
        <v>2342</v>
      </c>
    </row>
    <row r="51" spans="1:12" ht="15" customHeight="1" x14ac:dyDescent="0.25">
      <c r="A51" s="351" t="s">
        <v>2384</v>
      </c>
      <c r="B51" s="351"/>
      <c r="C51" s="351"/>
      <c r="D51" s="351"/>
      <c r="E51" s="351"/>
      <c r="F51" s="351"/>
      <c r="G51" s="15">
        <v>42</v>
      </c>
      <c r="H51" s="16"/>
      <c r="I51" s="199"/>
      <c r="J51" s="199"/>
      <c r="L51" s="2" t="s">
        <v>2342</v>
      </c>
    </row>
    <row r="52" spans="1:12" ht="15" customHeight="1" x14ac:dyDescent="0.25">
      <c r="A52" s="361" t="s">
        <v>2385</v>
      </c>
      <c r="B52" s="361"/>
      <c r="C52" s="361"/>
      <c r="D52" s="361"/>
      <c r="E52" s="361"/>
      <c r="F52" s="361"/>
      <c r="G52" s="15">
        <v>43</v>
      </c>
      <c r="H52" s="16"/>
      <c r="I52" s="198">
        <f>ROUND(I36+I44+I47+I51,2)</f>
        <v>0</v>
      </c>
      <c r="J52" s="198">
        <f>ROUND(J36+J44+J47+J51,2)</f>
        <v>0</v>
      </c>
      <c r="L52" s="2" t="s">
        <v>2342</v>
      </c>
    </row>
    <row r="53" spans="1:12" ht="15" customHeight="1" x14ac:dyDescent="0.25">
      <c r="A53" s="361" t="s">
        <v>2386</v>
      </c>
      <c r="B53" s="361"/>
      <c r="C53" s="361"/>
      <c r="D53" s="361"/>
      <c r="E53" s="361"/>
      <c r="F53" s="361"/>
      <c r="G53" s="213">
        <v>44</v>
      </c>
      <c r="H53" s="16"/>
      <c r="I53" s="198">
        <f>ROUND(I33-I52,2)</f>
        <v>0</v>
      </c>
      <c r="J53" s="198">
        <f>ROUND(J33-J52,2)</f>
        <v>0</v>
      </c>
      <c r="L53" s="2" t="s">
        <v>2387</v>
      </c>
    </row>
    <row r="54" spans="1:12" ht="15" customHeight="1" x14ac:dyDescent="0.25">
      <c r="A54" s="351" t="s">
        <v>2388</v>
      </c>
      <c r="B54" s="351"/>
      <c r="C54" s="351"/>
      <c r="D54" s="351"/>
      <c r="E54" s="351"/>
      <c r="F54" s="351"/>
      <c r="G54" s="15">
        <v>45</v>
      </c>
      <c r="H54" s="16"/>
      <c r="I54" s="216"/>
      <c r="J54" s="216"/>
      <c r="L54" s="2" t="s">
        <v>2342</v>
      </c>
    </row>
    <row r="55" spans="1:12" ht="15" customHeight="1" x14ac:dyDescent="0.25">
      <c r="A55" s="351" t="s">
        <v>2389</v>
      </c>
      <c r="B55" s="351"/>
      <c r="C55" s="351"/>
      <c r="D55" s="351"/>
      <c r="E55" s="351"/>
      <c r="F55" s="351"/>
      <c r="G55" s="213">
        <v>46</v>
      </c>
      <c r="H55" s="16"/>
      <c r="I55" s="170">
        <f>IF(I54&gt;0,ROUND(I53/I54,4),0)</f>
        <v>0</v>
      </c>
      <c r="J55" s="170">
        <f>IF(J54&gt;0,ROUND(J53/J54,4),0)</f>
        <v>0</v>
      </c>
    </row>
    <row r="56" spans="1:12" ht="15" customHeight="1" x14ac:dyDescent="0.25">
      <c r="A56" s="352" t="s">
        <v>2390</v>
      </c>
      <c r="B56" s="352"/>
      <c r="C56" s="352"/>
      <c r="D56" s="352"/>
      <c r="E56" s="352"/>
      <c r="F56" s="352"/>
      <c r="G56" s="15">
        <v>47</v>
      </c>
      <c r="H56" s="16"/>
      <c r="I56" s="199"/>
      <c r="J56" s="199"/>
      <c r="L56" s="2" t="s">
        <v>2342</v>
      </c>
    </row>
    <row r="57" spans="1:12" ht="15" customHeight="1" x14ac:dyDescent="0.25">
      <c r="A57" s="352" t="s">
        <v>2391</v>
      </c>
      <c r="B57" s="352"/>
      <c r="C57" s="352"/>
      <c r="D57" s="352"/>
      <c r="E57" s="352"/>
      <c r="F57" s="352"/>
      <c r="G57" s="15">
        <v>48</v>
      </c>
      <c r="H57" s="16"/>
      <c r="I57" s="199"/>
      <c r="J57" s="199"/>
      <c r="L57" s="2" t="s">
        <v>2342</v>
      </c>
    </row>
    <row r="58" spans="1:12" ht="15" customHeight="1" x14ac:dyDescent="0.25">
      <c r="A58" s="352" t="s">
        <v>2392</v>
      </c>
      <c r="B58" s="352"/>
      <c r="C58" s="352"/>
      <c r="D58" s="352"/>
      <c r="E58" s="352"/>
      <c r="F58" s="352"/>
      <c r="G58" s="213">
        <v>49</v>
      </c>
      <c r="H58" s="16"/>
      <c r="I58" s="199"/>
      <c r="J58" s="199"/>
      <c r="L58" s="2" t="s">
        <v>2387</v>
      </c>
    </row>
    <row r="59" spans="1:12" ht="15" customHeight="1" x14ac:dyDescent="0.25">
      <c r="A59" s="352" t="s">
        <v>2393</v>
      </c>
      <c r="B59" s="352"/>
      <c r="C59" s="352"/>
      <c r="D59" s="352"/>
      <c r="E59" s="352"/>
      <c r="F59" s="352"/>
      <c r="G59" s="213">
        <v>50</v>
      </c>
      <c r="H59" s="16"/>
      <c r="I59" s="199"/>
      <c r="J59" s="199"/>
      <c r="L59" s="2" t="s">
        <v>2387</v>
      </c>
    </row>
    <row r="60" spans="1:12" ht="15" customHeight="1" x14ac:dyDescent="0.25">
      <c r="A60" s="352" t="s">
        <v>2394</v>
      </c>
      <c r="B60" s="352"/>
      <c r="C60" s="352"/>
      <c r="D60" s="352"/>
      <c r="E60" s="352"/>
      <c r="F60" s="352"/>
      <c r="G60" s="213">
        <v>51</v>
      </c>
      <c r="H60" s="16"/>
      <c r="I60" s="199"/>
      <c r="J60" s="199"/>
      <c r="L60" s="2" t="s">
        <v>2387</v>
      </c>
    </row>
    <row r="61" spans="1:12" ht="15" customHeight="1" x14ac:dyDescent="0.25">
      <c r="A61" s="357" t="s">
        <v>2395</v>
      </c>
      <c r="B61" s="358"/>
      <c r="C61" s="358"/>
      <c r="D61" s="358"/>
      <c r="E61" s="358"/>
      <c r="F61" s="359"/>
      <c r="G61" s="213">
        <v>52</v>
      </c>
      <c r="H61" s="16"/>
      <c r="I61" s="198">
        <f>ROUND(SUM(I62:I63),2)</f>
        <v>0</v>
      </c>
      <c r="J61" s="198">
        <f>ROUND(SUM(J62:J63),2)</f>
        <v>0</v>
      </c>
      <c r="L61" s="2" t="s">
        <v>2387</v>
      </c>
    </row>
    <row r="62" spans="1:12" ht="15" customHeight="1" x14ac:dyDescent="0.25">
      <c r="A62" s="354" t="s">
        <v>2396</v>
      </c>
      <c r="B62" s="355"/>
      <c r="C62" s="355"/>
      <c r="D62" s="355"/>
      <c r="E62" s="355"/>
      <c r="F62" s="356"/>
      <c r="G62" s="213">
        <v>53</v>
      </c>
      <c r="H62" s="16"/>
      <c r="I62" s="199"/>
      <c r="J62" s="199"/>
      <c r="L62" s="2" t="s">
        <v>2387</v>
      </c>
    </row>
    <row r="63" spans="1:12" ht="15" customHeight="1" x14ac:dyDescent="0.25">
      <c r="A63" s="354" t="s">
        <v>2397</v>
      </c>
      <c r="B63" s="355"/>
      <c r="C63" s="355"/>
      <c r="D63" s="355"/>
      <c r="E63" s="355"/>
      <c r="F63" s="356"/>
      <c r="G63" s="213">
        <v>54</v>
      </c>
      <c r="H63" s="16"/>
      <c r="I63" s="199"/>
      <c r="J63" s="199"/>
      <c r="L63" s="2" t="s">
        <v>2387</v>
      </c>
    </row>
    <row r="64" spans="1:12" ht="15" customHeight="1" x14ac:dyDescent="0.25">
      <c r="A64" s="352" t="s">
        <v>2398</v>
      </c>
      <c r="B64" s="352"/>
      <c r="C64" s="352"/>
      <c r="D64" s="352"/>
      <c r="E64" s="352"/>
      <c r="F64" s="352"/>
      <c r="G64" s="213">
        <v>55</v>
      </c>
      <c r="H64" s="16"/>
      <c r="I64" s="199"/>
      <c r="J64" s="199"/>
      <c r="L64" s="2" t="s">
        <v>2387</v>
      </c>
    </row>
    <row r="65" spans="1:12" ht="15" customHeight="1" x14ac:dyDescent="0.25">
      <c r="A65" s="351" t="s">
        <v>2399</v>
      </c>
      <c r="B65" s="351"/>
      <c r="C65" s="351"/>
      <c r="D65" s="351"/>
      <c r="E65" s="351"/>
      <c r="F65" s="351"/>
      <c r="G65" s="213">
        <v>56</v>
      </c>
      <c r="H65" s="16"/>
      <c r="I65" s="198">
        <f>ROUND(SUM(I56:I61)+I64,2)</f>
        <v>0</v>
      </c>
      <c r="J65" s="198">
        <f>ROUND(SUM(J56:J61)+J64,2)</f>
        <v>0</v>
      </c>
      <c r="L65" s="2" t="s">
        <v>2387</v>
      </c>
    </row>
    <row r="66" spans="1:12" ht="15" customHeight="1" x14ac:dyDescent="0.25">
      <c r="A66" s="352" t="s">
        <v>2400</v>
      </c>
      <c r="B66" s="352"/>
      <c r="C66" s="352"/>
      <c r="D66" s="352"/>
      <c r="E66" s="352"/>
      <c r="F66" s="352"/>
      <c r="G66" s="15">
        <v>57</v>
      </c>
      <c r="H66" s="16"/>
      <c r="I66" s="199"/>
      <c r="J66" s="199"/>
      <c r="L66" s="2" t="s">
        <v>2342</v>
      </c>
    </row>
    <row r="67" spans="1:12" ht="14.1" customHeight="1" x14ac:dyDescent="0.25">
      <c r="A67" s="380" t="s">
        <v>2401</v>
      </c>
      <c r="B67" s="382"/>
      <c r="C67" s="382"/>
      <c r="D67" s="382"/>
      <c r="E67" s="382"/>
      <c r="F67" s="382"/>
      <c r="G67" s="382"/>
      <c r="H67" s="382"/>
      <c r="I67" s="382"/>
      <c r="J67" s="382"/>
    </row>
    <row r="68" spans="1:12" ht="15" customHeight="1" x14ac:dyDescent="0.25">
      <c r="A68" s="352" t="s">
        <v>2402</v>
      </c>
      <c r="B68" s="352"/>
      <c r="C68" s="352"/>
      <c r="D68" s="352"/>
      <c r="E68" s="352"/>
      <c r="F68" s="352"/>
      <c r="G68" s="15">
        <v>58</v>
      </c>
      <c r="H68" s="16"/>
      <c r="I68" s="199"/>
      <c r="J68" s="199"/>
      <c r="L68" s="2" t="s">
        <v>2342</v>
      </c>
    </row>
    <row r="69" spans="1:12" ht="15" customHeight="1" x14ac:dyDescent="0.25">
      <c r="A69" s="353" t="s">
        <v>2403</v>
      </c>
      <c r="B69" s="353"/>
      <c r="C69" s="353"/>
      <c r="D69" s="353"/>
      <c r="E69" s="353"/>
      <c r="F69" s="353"/>
      <c r="G69" s="182">
        <v>59</v>
      </c>
      <c r="H69" s="17"/>
      <c r="I69" s="200"/>
      <c r="J69" s="200"/>
      <c r="L69" s="2" t="s">
        <v>2342</v>
      </c>
    </row>
    <row r="70" spans="1:12" ht="5.0999999999999996" customHeight="1" x14ac:dyDescent="0.25"/>
  </sheetData>
  <sheetProtection password="C79A" sheet="1" objects="1" scenarios="1"/>
  <mergeCells count="69">
    <mergeCell ref="A28:F28"/>
    <mergeCell ref="A23:F23"/>
    <mergeCell ref="A24:F24"/>
    <mergeCell ref="A32:F32"/>
    <mergeCell ref="A36:F36"/>
    <mergeCell ref="A35:J35"/>
    <mergeCell ref="A25:F25"/>
    <mergeCell ref="A26:F26"/>
    <mergeCell ref="A19:F19"/>
    <mergeCell ref="A20:F20"/>
    <mergeCell ref="A27:F27"/>
    <mergeCell ref="A8:J8"/>
    <mergeCell ref="A14:F14"/>
    <mergeCell ref="A17:F17"/>
    <mergeCell ref="A18:F18"/>
    <mergeCell ref="A9:F9"/>
    <mergeCell ref="A10:F10"/>
    <mergeCell ref="A16:F16"/>
    <mergeCell ref="A29:F29"/>
    <mergeCell ref="A30:F30"/>
    <mergeCell ref="A31:F31"/>
    <mergeCell ref="J2:J3"/>
    <mergeCell ref="A2:I2"/>
    <mergeCell ref="A3:I3"/>
    <mergeCell ref="A5:J5"/>
    <mergeCell ref="I4:J4"/>
    <mergeCell ref="A6:F6"/>
    <mergeCell ref="A7:F7"/>
    <mergeCell ref="A21:F21"/>
    <mergeCell ref="A22:F22"/>
    <mergeCell ref="A15:F15"/>
    <mergeCell ref="A13:F13"/>
    <mergeCell ref="A11:F11"/>
    <mergeCell ref="A12:F12"/>
    <mergeCell ref="A50:F50"/>
    <mergeCell ref="A51:F51"/>
    <mergeCell ref="A52:F52"/>
    <mergeCell ref="A53:F53"/>
    <mergeCell ref="A33:F33"/>
    <mergeCell ref="A34:F34"/>
    <mergeCell ref="A38:F38"/>
    <mergeCell ref="A37:F37"/>
    <mergeCell ref="A47:F47"/>
    <mergeCell ref="A44:F44"/>
    <mergeCell ref="A45:F45"/>
    <mergeCell ref="A46:F46"/>
    <mergeCell ref="A48:F48"/>
    <mergeCell ref="A49:F49"/>
    <mergeCell ref="A39:F39"/>
    <mergeCell ref="A40:F40"/>
    <mergeCell ref="A41:F41"/>
    <mergeCell ref="A42:F42"/>
    <mergeCell ref="A43:F43"/>
    <mergeCell ref="A54:F54"/>
    <mergeCell ref="A59:F59"/>
    <mergeCell ref="A60:F60"/>
    <mergeCell ref="A68:F68"/>
    <mergeCell ref="A69:F69"/>
    <mergeCell ref="A55:F55"/>
    <mergeCell ref="A56:F56"/>
    <mergeCell ref="A57:F57"/>
    <mergeCell ref="A58:F58"/>
    <mergeCell ref="A64:F64"/>
    <mergeCell ref="A63:F63"/>
    <mergeCell ref="A61:F61"/>
    <mergeCell ref="A62:F62"/>
    <mergeCell ref="A65:F65"/>
    <mergeCell ref="A66:F66"/>
    <mergeCell ref="A67:J67"/>
  </mergeCells>
  <phoneticPr fontId="3" type="noConversion"/>
  <conditionalFormatting sqref="I9:J34 I68:J69 I36:J52 I56:J57 I66:J66">
    <cfRule type="cellIs" dxfId="18" priority="3" stopIfTrue="1" operator="lessThan">
      <formula>0</formula>
    </cfRule>
  </conditionalFormatting>
  <conditionalFormatting sqref="I9:J34 I68:J69">
    <cfRule type="cellIs" dxfId="17" priority="2" stopIfTrue="1" operator="notEqual">
      <formula>ROUND(I9,2)</formula>
    </cfRule>
  </conditionalFormatting>
  <conditionalFormatting sqref="I36:J53 I56:J66">
    <cfRule type="cellIs" dxfId="16" priority="1" stopIfTrue="1" operator="notEqual">
      <formula>ROUND(I36,2)</formula>
    </cfRule>
  </conditionalFormatting>
  <conditionalFormatting sqref="I54:J54">
    <cfRule type="cellIs" dxfId="15" priority="4" stopIfTrue="1" operator="notEqual">
      <formula>ROUND(I54,0)</formula>
    </cfRule>
    <cfRule type="cellIs" dxfId="14" priority="5" stopIfTrue="1" operator="lessThan">
      <formula>0</formula>
    </cfRule>
  </conditionalFormatting>
  <dataValidations count="4">
    <dataValidation type="textLength" operator="lessThan" allowBlank="1" showInputMessage="1" showErrorMessage="1" errorTitle="Redni broj bilješke" error="Redni broj bilješke mora biti text duljine najviše 10 znakova." sqref="H68:H69 H36:H66 H9:H34" xr:uid="{00000000-0002-0000-0300-000000000000}">
      <formula1>10</formula1>
    </dataValidation>
    <dataValidation type="decimal" operator="greaterThanOrEqual" allowBlank="1" showErrorMessage="1" errorTitle="Nedopušten unos" error="Dopušten je unos samo pozitivnih vrijednosti zaokruženih na 2 decimale ili nule" sqref="I68:J69 I66:J66 I56:J57 I36:J52 I9:J34" xr:uid="{00000000-0002-0000-0300-000001000000}">
      <formula1>0</formula1>
    </dataValidation>
    <dataValidation type="decimal" operator="notEqual" allowBlank="1" showErrorMessage="1" errorTitle="Nedopušten unos" error="Dopušten je unos pozitivnih ili negativnih vrijednosti zaokruženih na 2 decimale ili nule" sqref="I53:J53 I58:J65" xr:uid="{00000000-0002-0000-0300-00002C000000}">
      <formula1>99999999</formula1>
    </dataValidation>
    <dataValidation type="whole" operator="greaterThanOrEqual" allowBlank="1" showErrorMessage="1" errorTitle="Nedopušten unos" error="Dopušten je unos samo cjelobrojnih pozitivnih vrijednosti ili nule" sqref="I54:J54" xr:uid="{00000000-0002-0000-0300-00002D000000}">
      <formula1>0</formula1>
    </dataValidation>
  </dataValidations>
  <hyperlinks>
    <hyperlink ref="D1" location="Bilanca!A1" tooltip="Unos podataka u Bilancu" display="Bilanca" xr:uid="{00000000-0004-0000-0300-000000000000}"/>
    <hyperlink ref="C1" location="RefStr!A1" tooltip="Unos općih podataka na Referentnu stranicu" display="RefStr" xr:uid="{00000000-0004-0000-0300-000001000000}"/>
    <hyperlink ref="B1" location="Naslovna!A1" tooltip="Naslovna strana, unos općih podataka" display="Naslovna" xr:uid="{00000000-0004-0000-0300-000002000000}"/>
    <hyperlink ref="E1" location="RDG!A1" tooltip="Unos podataka u Račun dobiti i gubitka" display="RDG" xr:uid="{00000000-0004-0000-0300-000003000000}"/>
    <hyperlink ref="F1" location="Dodatni!A1" tooltip="Unos podataka u Dodatne podatke" display="PodDop" xr:uid="{00000000-0004-0000-0300-000004000000}"/>
    <hyperlink ref="G1" location="NT_I!A1" tooltip="Unos podataka u Novčani tijek po indirektnoj metodi" display="NT_I" xr:uid="{00000000-0004-0000-0300-000005000000}"/>
    <hyperlink ref="H1" location="NT_D!A1" tooltip="Unos podataka u Novčani tijek po direktnoj metodi" display="NT_D" xr:uid="{00000000-0004-0000-0300-000006000000}"/>
    <hyperlink ref="J1" location="Kont!A1" tooltip="Provjera pogrešaka i upozorenja na radnom listu Kontrole" display="Kont" xr:uid="{00000000-0004-0000-0300-000007000000}"/>
    <hyperlink ref="I1" location="PK!A1" tooltip="Unos podataka u obrazac Promjene kapitala" display="PK" xr:uid="{00000000-0004-0000-0300-000008000000}"/>
  </hyperlinks>
  <printOptions horizontalCentered="1"/>
  <pageMargins left="0.39370078740157483" right="0.39370078740157483" top="0.59055118110236227" bottom="0.59055118110236227" header="0.39370078740157483" footer="0.39370078740157483"/>
  <pageSetup paperSize="9" fitToHeight="0" orientation="portrait" horizontalDpi="1200"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R60"/>
  <sheetViews>
    <sheetView showGridLines="0" showRowColHeaders="0" workbookViewId="0"/>
  </sheetViews>
  <sheetFormatPr defaultColWidth="0" defaultRowHeight="11.4" zeroHeight="1" x14ac:dyDescent="0.2"/>
  <cols>
    <col min="1" max="6" width="10.109375" style="58" customWidth="1"/>
    <col min="7" max="7" width="6" style="58" customWidth="1"/>
    <col min="8" max="8" width="5.6640625" style="58" customWidth="1"/>
    <col min="9" max="10" width="14.6640625" style="58" customWidth="1"/>
    <col min="11" max="11" width="0.88671875" style="58" customWidth="1"/>
    <col min="12" max="12" width="9.109375" style="58" hidden="1" customWidth="1"/>
    <col min="13" max="13" width="8.6640625" style="58" hidden="1" customWidth="1"/>
    <col min="14" max="14" width="9.44140625" style="58" hidden="1" customWidth="1"/>
    <col min="15" max="15" width="9.109375" style="58" hidden="1" customWidth="1"/>
    <col min="16" max="16384" width="9.109375" style="58" hidden="1"/>
  </cols>
  <sheetData>
    <row r="1" spans="1:18" ht="24.9" customHeight="1" thickBot="1" x14ac:dyDescent="0.25">
      <c r="A1" s="93" t="s">
        <v>114</v>
      </c>
      <c r="B1" s="50" t="s">
        <v>115</v>
      </c>
      <c r="C1" s="50" t="s">
        <v>116</v>
      </c>
      <c r="D1" s="50" t="s">
        <v>117</v>
      </c>
      <c r="E1" s="50" t="s">
        <v>96</v>
      </c>
      <c r="F1" s="50" t="s">
        <v>118</v>
      </c>
      <c r="G1" s="50" t="s">
        <v>119</v>
      </c>
      <c r="H1" s="50" t="s">
        <v>120</v>
      </c>
      <c r="I1" s="50" t="s">
        <v>113</v>
      </c>
      <c r="J1" s="51" t="s">
        <v>121</v>
      </c>
      <c r="K1" s="2"/>
      <c r="L1" s="58" t="s">
        <v>2404</v>
      </c>
      <c r="Q1" s="54">
        <f>MAX(Q2:Q3)</f>
        <v>0</v>
      </c>
      <c r="R1" s="53" t="s">
        <v>2328</v>
      </c>
    </row>
    <row r="2" spans="1:18" s="2" customFormat="1" ht="20.100000000000001" customHeight="1" x14ac:dyDescent="0.25">
      <c r="A2" s="364" t="s">
        <v>2405</v>
      </c>
      <c r="B2" s="406"/>
      <c r="C2" s="406"/>
      <c r="D2" s="406"/>
      <c r="E2" s="406"/>
      <c r="F2" s="406"/>
      <c r="G2" s="406"/>
      <c r="H2" s="406"/>
      <c r="I2" s="407"/>
      <c r="J2" s="362" t="s">
        <v>2406</v>
      </c>
      <c r="Q2" s="54">
        <f>IF(OR(MIN(I9:I59)&lt;0,MAX(I9:I59)&gt;0),1,0)</f>
        <v>0</v>
      </c>
      <c r="R2" s="53" t="s">
        <v>2331</v>
      </c>
    </row>
    <row r="3" spans="1:18" s="2" customFormat="1" ht="20.100000000000001" customHeight="1" thickBot="1" x14ac:dyDescent="0.3">
      <c r="A3" s="367" t="str">
        <f xml:space="preserve"> "za razdoblje " &amp; IF(RefStr!C4&lt;&gt;"", TEXT(RefStr!C4, "DD.MM.YYYY."), "__.__.____.") &amp; " do " &amp; IF(RefStr!F4&lt;&gt;"", TEXT(RefStr!F4, "DD.MM.YYYY."),"__.__.____.")</f>
        <v>za razdoblje __.__.____. do __.__.____.</v>
      </c>
      <c r="B3" s="408"/>
      <c r="C3" s="408"/>
      <c r="D3" s="408"/>
      <c r="E3" s="408"/>
      <c r="F3" s="408"/>
      <c r="G3" s="408"/>
      <c r="H3" s="408"/>
      <c r="I3" s="409"/>
      <c r="J3" s="363"/>
      <c r="Q3" s="54">
        <f>IF(OR(MIN(J9:J59)&lt;0,MAX(J9:J59)&gt;0),1,0)</f>
        <v>0</v>
      </c>
      <c r="R3" s="53" t="s">
        <v>2332</v>
      </c>
    </row>
    <row r="4" spans="1:18" s="2" customFormat="1" ht="15.9" customHeight="1" x14ac:dyDescent="0.25">
      <c r="A4" s="56"/>
      <c r="B4" s="57"/>
      <c r="C4" s="57"/>
      <c r="D4" s="57"/>
      <c r="E4" s="57"/>
      <c r="F4" s="57"/>
      <c r="G4" s="57"/>
      <c r="H4" s="57"/>
      <c r="I4" s="373" t="str">
        <f>IF(YEAR(RefStr!F4)&gt;2022,"Iznosi u eurima i centima", "Iznosi u kunama bez lipa")</f>
        <v>Iznosi u kunama bez lipa</v>
      </c>
      <c r="J4" s="374"/>
    </row>
    <row r="5" spans="1:18" s="2" customFormat="1" ht="20.100000000000001" customHeight="1" x14ac:dyDescent="0.25">
      <c r="A5" s="400"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401"/>
      <c r="C5" s="401"/>
      <c r="D5" s="401"/>
      <c r="E5" s="401"/>
      <c r="F5" s="401"/>
      <c r="G5" s="401"/>
      <c r="H5" s="401"/>
      <c r="I5" s="401"/>
      <c r="J5" s="402"/>
      <c r="Q5" s="2">
        <f>IF(OR(MIN(I58:I59)&lt;0,MAX(I58:I59)&gt;0),1,0)</f>
        <v>0</v>
      </c>
      <c r="R5" s="53" t="s">
        <v>2333</v>
      </c>
    </row>
    <row r="6" spans="1:18" s="2" customFormat="1" ht="24.75" customHeight="1" thickBot="1" x14ac:dyDescent="0.3">
      <c r="A6" s="375" t="s">
        <v>2334</v>
      </c>
      <c r="B6" s="376"/>
      <c r="C6" s="376"/>
      <c r="D6" s="376"/>
      <c r="E6" s="376"/>
      <c r="F6" s="376"/>
      <c r="G6" s="61" t="s">
        <v>2335</v>
      </c>
      <c r="H6" s="60" t="s">
        <v>2336</v>
      </c>
      <c r="I6" s="63" t="s">
        <v>2407</v>
      </c>
      <c r="J6" s="64" t="s">
        <v>2408</v>
      </c>
      <c r="Q6" s="2">
        <f>IF(OR(MIN(J58:J59)&lt;0,MAX(J58:J59)&gt;0),1,0)</f>
        <v>0</v>
      </c>
      <c r="R6" s="53" t="s">
        <v>2339</v>
      </c>
    </row>
    <row r="7" spans="1:18" s="2" customFormat="1" ht="13.5" customHeight="1" x14ac:dyDescent="0.25">
      <c r="A7" s="377">
        <v>1</v>
      </c>
      <c r="B7" s="378"/>
      <c r="C7" s="378"/>
      <c r="D7" s="378"/>
      <c r="E7" s="378"/>
      <c r="F7" s="378"/>
      <c r="G7" s="66">
        <v>2</v>
      </c>
      <c r="H7" s="66">
        <v>3</v>
      </c>
      <c r="I7" s="65">
        <v>4</v>
      </c>
      <c r="J7" s="67">
        <v>5</v>
      </c>
      <c r="Q7" s="2">
        <f>IF(OR(MIN(I38:J56)&lt;0,MAX(I38:J56)&gt;0),1,0)</f>
        <v>0</v>
      </c>
      <c r="R7" s="53" t="s">
        <v>2409</v>
      </c>
    </row>
    <row r="8" spans="1:18" s="2" customFormat="1" ht="15" customHeight="1" x14ac:dyDescent="0.25">
      <c r="A8" s="380" t="s">
        <v>2410</v>
      </c>
      <c r="B8" s="380"/>
      <c r="C8" s="380"/>
      <c r="D8" s="380"/>
      <c r="E8" s="380"/>
      <c r="F8" s="380"/>
      <c r="G8" s="392"/>
      <c r="H8" s="392"/>
      <c r="I8" s="392"/>
      <c r="J8" s="392"/>
    </row>
    <row r="9" spans="1:18" s="2" customFormat="1" ht="15" customHeight="1" x14ac:dyDescent="0.25">
      <c r="A9" s="351" t="s">
        <v>2411</v>
      </c>
      <c r="B9" s="390"/>
      <c r="C9" s="390"/>
      <c r="D9" s="390"/>
      <c r="E9" s="390"/>
      <c r="F9" s="390"/>
      <c r="G9" s="15">
        <v>60</v>
      </c>
      <c r="H9" s="16"/>
      <c r="I9" s="198">
        <f>ROUND(SUM(I10:I12),2)</f>
        <v>0</v>
      </c>
      <c r="J9" s="198">
        <f>ROUND(SUM(J10:J12),2)</f>
        <v>0</v>
      </c>
      <c r="L9" s="2" t="s">
        <v>2342</v>
      </c>
      <c r="Q9" s="2">
        <v>0</v>
      </c>
      <c r="R9" s="53" t="s">
        <v>2412</v>
      </c>
    </row>
    <row r="10" spans="1:18" s="2" customFormat="1" ht="15" customHeight="1" x14ac:dyDescent="0.25">
      <c r="A10" s="360" t="s">
        <v>2413</v>
      </c>
      <c r="B10" s="389"/>
      <c r="C10" s="389"/>
      <c r="D10" s="389"/>
      <c r="E10" s="389"/>
      <c r="F10" s="389"/>
      <c r="G10" s="15">
        <v>61</v>
      </c>
      <c r="H10" s="16"/>
      <c r="I10" s="199"/>
      <c r="J10" s="199"/>
      <c r="L10" s="2" t="s">
        <v>2342</v>
      </c>
    </row>
    <row r="11" spans="1:18" s="2" customFormat="1" ht="15" customHeight="1" x14ac:dyDescent="0.25">
      <c r="A11" s="360" t="s">
        <v>2414</v>
      </c>
      <c r="B11" s="389"/>
      <c r="C11" s="389"/>
      <c r="D11" s="389"/>
      <c r="E11" s="389"/>
      <c r="F11" s="389"/>
      <c r="G11" s="15">
        <v>62</v>
      </c>
      <c r="H11" s="16"/>
      <c r="I11" s="199"/>
      <c r="J11" s="199"/>
      <c r="L11" s="2" t="s">
        <v>2342</v>
      </c>
    </row>
    <row r="12" spans="1:18" s="2" customFormat="1" ht="15" customHeight="1" x14ac:dyDescent="0.25">
      <c r="A12" s="360" t="s">
        <v>2415</v>
      </c>
      <c r="B12" s="389"/>
      <c r="C12" s="389"/>
      <c r="D12" s="389"/>
      <c r="E12" s="389"/>
      <c r="F12" s="389"/>
      <c r="G12" s="15">
        <v>63</v>
      </c>
      <c r="H12" s="16"/>
      <c r="I12" s="199"/>
      <c r="J12" s="199"/>
      <c r="L12" s="2" t="s">
        <v>2342</v>
      </c>
    </row>
    <row r="13" spans="1:18" s="2" customFormat="1" ht="15" customHeight="1" x14ac:dyDescent="0.25">
      <c r="A13" s="351" t="s">
        <v>2416</v>
      </c>
      <c r="B13" s="390"/>
      <c r="C13" s="390"/>
      <c r="D13" s="390"/>
      <c r="E13" s="390"/>
      <c r="F13" s="390"/>
      <c r="G13" s="15">
        <v>64</v>
      </c>
      <c r="H13" s="16"/>
      <c r="I13" s="199"/>
      <c r="J13" s="199"/>
      <c r="L13" s="2" t="s">
        <v>2342</v>
      </c>
    </row>
    <row r="14" spans="1:18" s="2" customFormat="1" ht="15" customHeight="1" x14ac:dyDescent="0.25">
      <c r="A14" s="351" t="s">
        <v>2417</v>
      </c>
      <c r="B14" s="390"/>
      <c r="C14" s="390"/>
      <c r="D14" s="390"/>
      <c r="E14" s="390"/>
      <c r="F14" s="390"/>
      <c r="G14" s="15">
        <v>65</v>
      </c>
      <c r="H14" s="16"/>
      <c r="I14" s="199"/>
      <c r="J14" s="199"/>
      <c r="L14" s="2" t="s">
        <v>2342</v>
      </c>
    </row>
    <row r="15" spans="1:18" s="2" customFormat="1" ht="15" customHeight="1" x14ac:dyDescent="0.25">
      <c r="A15" s="351" t="s">
        <v>2418</v>
      </c>
      <c r="B15" s="390"/>
      <c r="C15" s="390"/>
      <c r="D15" s="390"/>
      <c r="E15" s="390"/>
      <c r="F15" s="390"/>
      <c r="G15" s="15">
        <v>66</v>
      </c>
      <c r="H15" s="16"/>
      <c r="I15" s="198">
        <f>ROUND(SUM(I16:I17),2)</f>
        <v>0</v>
      </c>
      <c r="J15" s="198">
        <f>ROUND(SUM(J16:J17),2)</f>
        <v>0</v>
      </c>
      <c r="L15" s="2" t="s">
        <v>2342</v>
      </c>
    </row>
    <row r="16" spans="1:18" s="2" customFormat="1" ht="15" customHeight="1" x14ac:dyDescent="0.25">
      <c r="A16" s="360" t="s">
        <v>2419</v>
      </c>
      <c r="B16" s="389"/>
      <c r="C16" s="389"/>
      <c r="D16" s="389"/>
      <c r="E16" s="389"/>
      <c r="F16" s="389"/>
      <c r="G16" s="15">
        <v>67</v>
      </c>
      <c r="H16" s="16"/>
      <c r="I16" s="199"/>
      <c r="J16" s="199"/>
      <c r="L16" s="2" t="s">
        <v>2342</v>
      </c>
    </row>
    <row r="17" spans="1:12" s="2" customFormat="1" ht="15" customHeight="1" x14ac:dyDescent="0.25">
      <c r="A17" s="360" t="s">
        <v>2420</v>
      </c>
      <c r="B17" s="389"/>
      <c r="C17" s="389"/>
      <c r="D17" s="389"/>
      <c r="E17" s="389"/>
      <c r="F17" s="389"/>
      <c r="G17" s="15">
        <v>68</v>
      </c>
      <c r="H17" s="16"/>
      <c r="I17" s="199"/>
      <c r="J17" s="199"/>
      <c r="L17" s="2" t="s">
        <v>2342</v>
      </c>
    </row>
    <row r="18" spans="1:12" s="2" customFormat="1" ht="15" customHeight="1" x14ac:dyDescent="0.25">
      <c r="A18" s="410" t="s">
        <v>2421</v>
      </c>
      <c r="B18" s="411"/>
      <c r="C18" s="411"/>
      <c r="D18" s="411"/>
      <c r="E18" s="411"/>
      <c r="F18" s="411"/>
      <c r="G18" s="15">
        <v>69</v>
      </c>
      <c r="H18" s="17"/>
      <c r="I18" s="201">
        <f>ROUND(I9+SUM(I13:I15),2)</f>
        <v>0</v>
      </c>
      <c r="J18" s="201">
        <f>ROUND(J9+SUM(J13:J15),2)</f>
        <v>0</v>
      </c>
      <c r="L18" s="2" t="s">
        <v>2342</v>
      </c>
    </row>
    <row r="19" spans="1:12" s="2" customFormat="1" ht="15" customHeight="1" x14ac:dyDescent="0.25">
      <c r="A19" s="380" t="s">
        <v>2422</v>
      </c>
      <c r="B19" s="380"/>
      <c r="C19" s="380"/>
      <c r="D19" s="380"/>
      <c r="E19" s="380"/>
      <c r="F19" s="380"/>
      <c r="G19" s="392"/>
      <c r="H19" s="392"/>
      <c r="I19" s="392"/>
      <c r="J19" s="392"/>
    </row>
    <row r="20" spans="1:12" s="2" customFormat="1" ht="15" customHeight="1" x14ac:dyDescent="0.25">
      <c r="A20" s="351" t="s">
        <v>2423</v>
      </c>
      <c r="B20" s="390"/>
      <c r="C20" s="390"/>
      <c r="D20" s="390"/>
      <c r="E20" s="390"/>
      <c r="F20" s="390"/>
      <c r="G20" s="15">
        <v>70</v>
      </c>
      <c r="H20" s="16"/>
      <c r="I20" s="199"/>
      <c r="J20" s="199"/>
      <c r="L20" s="2" t="s">
        <v>2342</v>
      </c>
    </row>
    <row r="21" spans="1:12" s="2" customFormat="1" ht="15" customHeight="1" x14ac:dyDescent="0.25">
      <c r="A21" s="351" t="s">
        <v>2424</v>
      </c>
      <c r="B21" s="390"/>
      <c r="C21" s="390"/>
      <c r="D21" s="390"/>
      <c r="E21" s="390"/>
      <c r="F21" s="390"/>
      <c r="G21" s="15">
        <v>71</v>
      </c>
      <c r="H21" s="16"/>
      <c r="I21" s="199"/>
      <c r="J21" s="199"/>
      <c r="L21" s="2" t="s">
        <v>2342</v>
      </c>
    </row>
    <row r="22" spans="1:12" s="2" customFormat="1" ht="15" customHeight="1" x14ac:dyDescent="0.25">
      <c r="A22" s="386" t="s">
        <v>2425</v>
      </c>
      <c r="B22" s="387"/>
      <c r="C22" s="387"/>
      <c r="D22" s="387"/>
      <c r="E22" s="387"/>
      <c r="F22" s="388"/>
      <c r="G22" s="15">
        <v>72</v>
      </c>
      <c r="H22" s="16"/>
      <c r="I22" s="199"/>
      <c r="J22" s="199"/>
      <c r="L22" s="2" t="s">
        <v>2342</v>
      </c>
    </row>
    <row r="23" spans="1:12" s="2" customFormat="1" ht="15" customHeight="1" x14ac:dyDescent="0.25">
      <c r="A23" s="351" t="s">
        <v>2426</v>
      </c>
      <c r="B23" s="390"/>
      <c r="C23" s="390"/>
      <c r="D23" s="390"/>
      <c r="E23" s="390"/>
      <c r="F23" s="390"/>
      <c r="G23" s="15">
        <v>73</v>
      </c>
      <c r="H23" s="16"/>
      <c r="I23" s="199"/>
      <c r="J23" s="199"/>
      <c r="L23" s="2" t="s">
        <v>2342</v>
      </c>
    </row>
    <row r="24" spans="1:12" s="2" customFormat="1" ht="15" customHeight="1" x14ac:dyDescent="0.25">
      <c r="A24" s="351" t="s">
        <v>2427</v>
      </c>
      <c r="B24" s="390"/>
      <c r="C24" s="390"/>
      <c r="D24" s="390"/>
      <c r="E24" s="390"/>
      <c r="F24" s="390"/>
      <c r="G24" s="15">
        <v>74</v>
      </c>
      <c r="H24" s="16"/>
      <c r="I24" s="199"/>
      <c r="J24" s="199"/>
      <c r="L24" s="2" t="s">
        <v>2342</v>
      </c>
    </row>
    <row r="25" spans="1:12" s="2" customFormat="1" ht="15" customHeight="1" x14ac:dyDescent="0.25">
      <c r="A25" s="351" t="s">
        <v>2428</v>
      </c>
      <c r="B25" s="390"/>
      <c r="C25" s="390"/>
      <c r="D25" s="390"/>
      <c r="E25" s="390"/>
      <c r="F25" s="390"/>
      <c r="G25" s="15">
        <v>75</v>
      </c>
      <c r="H25" s="16"/>
      <c r="I25" s="199"/>
      <c r="J25" s="199"/>
      <c r="L25" s="2" t="s">
        <v>2342</v>
      </c>
    </row>
    <row r="26" spans="1:12" s="2" customFormat="1" ht="15" customHeight="1" x14ac:dyDescent="0.25">
      <c r="A26" s="351" t="s">
        <v>2429</v>
      </c>
      <c r="B26" s="390"/>
      <c r="C26" s="390"/>
      <c r="D26" s="390"/>
      <c r="E26" s="390"/>
      <c r="F26" s="390"/>
      <c r="G26" s="15">
        <v>76</v>
      </c>
      <c r="H26" s="16"/>
      <c r="I26" s="199"/>
      <c r="J26" s="199"/>
      <c r="L26" s="2" t="s">
        <v>2342</v>
      </c>
    </row>
    <row r="27" spans="1:12" s="2" customFormat="1" ht="15" customHeight="1" x14ac:dyDescent="0.25">
      <c r="A27" s="351" t="s">
        <v>2430</v>
      </c>
      <c r="B27" s="390"/>
      <c r="C27" s="390"/>
      <c r="D27" s="390"/>
      <c r="E27" s="390"/>
      <c r="F27" s="390"/>
      <c r="G27" s="15">
        <v>77</v>
      </c>
      <c r="H27" s="16"/>
      <c r="I27" s="198">
        <f>ROUND(SUM(I28:I32),2)</f>
        <v>0</v>
      </c>
      <c r="J27" s="198">
        <f>ROUND(SUM(J28:J32),2)</f>
        <v>0</v>
      </c>
      <c r="L27" s="2" t="s">
        <v>2342</v>
      </c>
    </row>
    <row r="28" spans="1:12" s="2" customFormat="1" ht="15" customHeight="1" x14ac:dyDescent="0.25">
      <c r="A28" s="360" t="s">
        <v>2431</v>
      </c>
      <c r="B28" s="389"/>
      <c r="C28" s="389"/>
      <c r="D28" s="389"/>
      <c r="E28" s="389"/>
      <c r="F28" s="389"/>
      <c r="G28" s="15">
        <v>78</v>
      </c>
      <c r="H28" s="16"/>
      <c r="I28" s="199"/>
      <c r="J28" s="199"/>
      <c r="L28" s="2" t="s">
        <v>2342</v>
      </c>
    </row>
    <row r="29" spans="1:12" s="2" customFormat="1" ht="15" customHeight="1" x14ac:dyDescent="0.25">
      <c r="A29" s="360" t="s">
        <v>2432</v>
      </c>
      <c r="B29" s="389"/>
      <c r="C29" s="389"/>
      <c r="D29" s="389"/>
      <c r="E29" s="389"/>
      <c r="F29" s="389"/>
      <c r="G29" s="15">
        <v>79</v>
      </c>
      <c r="H29" s="16"/>
      <c r="I29" s="199"/>
      <c r="J29" s="199"/>
      <c r="L29" s="2" t="s">
        <v>2342</v>
      </c>
    </row>
    <row r="30" spans="1:12" s="2" customFormat="1" ht="15" customHeight="1" x14ac:dyDescent="0.25">
      <c r="A30" s="360" t="s">
        <v>2433</v>
      </c>
      <c r="B30" s="389"/>
      <c r="C30" s="389"/>
      <c r="D30" s="389"/>
      <c r="E30" s="389"/>
      <c r="F30" s="389"/>
      <c r="G30" s="15">
        <v>80</v>
      </c>
      <c r="H30" s="16"/>
      <c r="I30" s="199"/>
      <c r="J30" s="199"/>
      <c r="L30" s="2" t="s">
        <v>2342</v>
      </c>
    </row>
    <row r="31" spans="1:12" s="2" customFormat="1" ht="15" customHeight="1" x14ac:dyDescent="0.25">
      <c r="A31" s="360" t="s">
        <v>2434</v>
      </c>
      <c r="B31" s="389"/>
      <c r="C31" s="389"/>
      <c r="D31" s="389"/>
      <c r="E31" s="389"/>
      <c r="F31" s="389"/>
      <c r="G31" s="15">
        <v>81</v>
      </c>
      <c r="H31" s="16"/>
      <c r="I31" s="199"/>
      <c r="J31" s="199"/>
      <c r="L31" s="2" t="s">
        <v>2342</v>
      </c>
    </row>
    <row r="32" spans="1:12" s="2" customFormat="1" ht="15" customHeight="1" x14ac:dyDescent="0.25">
      <c r="A32" s="360" t="s">
        <v>2435</v>
      </c>
      <c r="B32" s="389"/>
      <c r="C32" s="389"/>
      <c r="D32" s="389"/>
      <c r="E32" s="389"/>
      <c r="F32" s="389"/>
      <c r="G32" s="15">
        <v>82</v>
      </c>
      <c r="H32" s="16"/>
      <c r="I32" s="199"/>
      <c r="J32" s="199"/>
      <c r="L32" s="2" t="s">
        <v>2342</v>
      </c>
    </row>
    <row r="33" spans="1:12" s="2" customFormat="1" ht="15" customHeight="1" x14ac:dyDescent="0.25">
      <c r="A33" s="351" t="s">
        <v>2436</v>
      </c>
      <c r="B33" s="391"/>
      <c r="C33" s="391"/>
      <c r="D33" s="391"/>
      <c r="E33" s="391"/>
      <c r="F33" s="391"/>
      <c r="G33" s="15">
        <v>83</v>
      </c>
      <c r="H33" s="16"/>
      <c r="I33" s="198">
        <f>ROUND(SUM(I20:I27),2)</f>
        <v>0</v>
      </c>
      <c r="J33" s="198">
        <f>ROUND(SUM(J20:J27),2)</f>
        <v>0</v>
      </c>
      <c r="L33" s="2" t="s">
        <v>2342</v>
      </c>
    </row>
    <row r="34" spans="1:12" s="2" customFormat="1" ht="15" customHeight="1" x14ac:dyDescent="0.25">
      <c r="A34" s="352" t="s">
        <v>2437</v>
      </c>
      <c r="B34" s="391"/>
      <c r="C34" s="391"/>
      <c r="D34" s="391"/>
      <c r="E34" s="391"/>
      <c r="F34" s="391"/>
      <c r="G34" s="213">
        <v>84</v>
      </c>
      <c r="H34" s="16"/>
      <c r="I34" s="198">
        <f>ROUND(I18-I33,2)</f>
        <v>0</v>
      </c>
      <c r="J34" s="198">
        <f>ROUND(J18-J33,2)</f>
        <v>0</v>
      </c>
      <c r="L34" s="2" t="s">
        <v>2387</v>
      </c>
    </row>
    <row r="35" spans="1:12" s="2" customFormat="1" ht="15" customHeight="1" x14ac:dyDescent="0.25">
      <c r="A35" s="352" t="s">
        <v>2438</v>
      </c>
      <c r="B35" s="391"/>
      <c r="C35" s="391"/>
      <c r="D35" s="391"/>
      <c r="E35" s="391"/>
      <c r="F35" s="391"/>
      <c r="G35" s="213">
        <v>85</v>
      </c>
      <c r="H35" s="16"/>
      <c r="I35" s="199"/>
      <c r="J35" s="199"/>
      <c r="L35" s="2" t="s">
        <v>2387</v>
      </c>
    </row>
    <row r="36" spans="1:12" s="2" customFormat="1" ht="15" customHeight="1" x14ac:dyDescent="0.25">
      <c r="A36" s="353" t="s">
        <v>2439</v>
      </c>
      <c r="B36" s="397"/>
      <c r="C36" s="397"/>
      <c r="D36" s="397"/>
      <c r="E36" s="397"/>
      <c r="F36" s="397"/>
      <c r="G36" s="213">
        <v>86</v>
      </c>
      <c r="H36" s="17"/>
      <c r="I36" s="201">
        <f>ROUND(I34-I35,2)</f>
        <v>0</v>
      </c>
      <c r="J36" s="201">
        <f>ROUND(J34-J35,2)</f>
        <v>0</v>
      </c>
      <c r="L36" s="2" t="s">
        <v>2387</v>
      </c>
    </row>
    <row r="37" spans="1:12" s="2" customFormat="1" ht="15" customHeight="1" x14ac:dyDescent="0.25">
      <c r="A37" s="403" t="s">
        <v>2440</v>
      </c>
      <c r="B37" s="404"/>
      <c r="C37" s="404"/>
      <c r="D37" s="404"/>
      <c r="E37" s="404"/>
      <c r="F37" s="404"/>
      <c r="G37" s="404"/>
      <c r="H37" s="404"/>
      <c r="I37" s="404"/>
      <c r="J37" s="405"/>
    </row>
    <row r="38" spans="1:12" s="2" customFormat="1" ht="15" customHeight="1" x14ac:dyDescent="0.25">
      <c r="A38" s="386" t="s">
        <v>2441</v>
      </c>
      <c r="B38" s="387"/>
      <c r="C38" s="387"/>
      <c r="D38" s="387"/>
      <c r="E38" s="387"/>
      <c r="F38" s="388"/>
      <c r="G38" s="213">
        <v>87</v>
      </c>
      <c r="H38" s="194"/>
      <c r="I38" s="198">
        <f>ROUND(I39+I44,2)</f>
        <v>0</v>
      </c>
      <c r="J38" s="198">
        <f>ROUND(J39+J44,2)</f>
        <v>0</v>
      </c>
      <c r="L38" s="2" t="s">
        <v>2387</v>
      </c>
    </row>
    <row r="39" spans="1:12" s="2" customFormat="1" ht="24.9" customHeight="1" x14ac:dyDescent="0.25">
      <c r="A39" s="386" t="s">
        <v>2442</v>
      </c>
      <c r="B39" s="387"/>
      <c r="C39" s="387"/>
      <c r="D39" s="387"/>
      <c r="E39" s="387"/>
      <c r="F39" s="388"/>
      <c r="G39" s="213">
        <v>88</v>
      </c>
      <c r="H39" s="194"/>
      <c r="I39" s="198">
        <f>ROUND(SUM(I40:I43),2)</f>
        <v>0</v>
      </c>
      <c r="J39" s="198">
        <f>ROUND(SUM(J40:J43),2)</f>
        <v>0</v>
      </c>
      <c r="L39" s="2" t="s">
        <v>2387</v>
      </c>
    </row>
    <row r="40" spans="1:12" s="2" customFormat="1" ht="24.9" customHeight="1" x14ac:dyDescent="0.25">
      <c r="A40" s="354" t="s">
        <v>2443</v>
      </c>
      <c r="B40" s="355"/>
      <c r="C40" s="355"/>
      <c r="D40" s="355"/>
      <c r="E40" s="355"/>
      <c r="F40" s="356"/>
      <c r="G40" s="213">
        <v>89</v>
      </c>
      <c r="H40" s="194"/>
      <c r="I40" s="202"/>
      <c r="J40" s="202"/>
      <c r="L40" s="2" t="s">
        <v>2387</v>
      </c>
    </row>
    <row r="41" spans="1:12" s="2" customFormat="1" ht="15" customHeight="1" x14ac:dyDescent="0.25">
      <c r="A41" s="354" t="s">
        <v>2444</v>
      </c>
      <c r="B41" s="355"/>
      <c r="C41" s="355"/>
      <c r="D41" s="355"/>
      <c r="E41" s="355"/>
      <c r="F41" s="356"/>
      <c r="G41" s="213">
        <v>90</v>
      </c>
      <c r="H41" s="194"/>
      <c r="I41" s="202"/>
      <c r="J41" s="202"/>
      <c r="L41" s="2" t="s">
        <v>2387</v>
      </c>
    </row>
    <row r="42" spans="1:12" s="2" customFormat="1" ht="24.9" customHeight="1" x14ac:dyDescent="0.25">
      <c r="A42" s="354" t="s">
        <v>2445</v>
      </c>
      <c r="B42" s="355"/>
      <c r="C42" s="355"/>
      <c r="D42" s="355"/>
      <c r="E42" s="355"/>
      <c r="F42" s="356"/>
      <c r="G42" s="213">
        <v>91</v>
      </c>
      <c r="H42" s="194"/>
      <c r="I42" s="202"/>
      <c r="J42" s="202"/>
      <c r="L42" s="2" t="s">
        <v>2387</v>
      </c>
    </row>
    <row r="43" spans="1:12" s="2" customFormat="1" ht="15" customHeight="1" x14ac:dyDescent="0.25">
      <c r="A43" s="354" t="s">
        <v>2446</v>
      </c>
      <c r="B43" s="355"/>
      <c r="C43" s="355"/>
      <c r="D43" s="355"/>
      <c r="E43" s="355"/>
      <c r="F43" s="356"/>
      <c r="G43" s="213">
        <v>92</v>
      </c>
      <c r="H43" s="194"/>
      <c r="I43" s="202"/>
      <c r="J43" s="202"/>
      <c r="L43" s="2" t="s">
        <v>2387</v>
      </c>
    </row>
    <row r="44" spans="1:12" s="2" customFormat="1" ht="24.9" customHeight="1" x14ac:dyDescent="0.25">
      <c r="A44" s="386" t="s">
        <v>2447</v>
      </c>
      <c r="B44" s="387"/>
      <c r="C44" s="387"/>
      <c r="D44" s="387"/>
      <c r="E44" s="387"/>
      <c r="F44" s="388"/>
      <c r="G44" s="213">
        <v>93</v>
      </c>
      <c r="H44" s="194"/>
      <c r="I44" s="198">
        <f>ROUND(I45+I48+I51+I52+I55,2)</f>
        <v>0</v>
      </c>
      <c r="J44" s="198">
        <f>ROUND(J45+J48+J51+J52+J55,2)</f>
        <v>0</v>
      </c>
      <c r="L44" s="2" t="s">
        <v>2387</v>
      </c>
    </row>
    <row r="45" spans="1:12" s="2" customFormat="1" ht="24.9" customHeight="1" x14ac:dyDescent="0.25">
      <c r="A45" s="354" t="s">
        <v>2448</v>
      </c>
      <c r="B45" s="355"/>
      <c r="C45" s="355"/>
      <c r="D45" s="355"/>
      <c r="E45" s="355"/>
      <c r="F45" s="356"/>
      <c r="G45" s="213">
        <v>94</v>
      </c>
      <c r="H45" s="194"/>
      <c r="I45" s="198">
        <f>ROUND(I46+I47,2)</f>
        <v>0</v>
      </c>
      <c r="J45" s="198">
        <f>ROUND(J46+J47,2)</f>
        <v>0</v>
      </c>
      <c r="L45" s="2" t="s">
        <v>2387</v>
      </c>
    </row>
    <row r="46" spans="1:12" s="2" customFormat="1" ht="15" customHeight="1" x14ac:dyDescent="0.25">
      <c r="A46" s="383" t="s">
        <v>2449</v>
      </c>
      <c r="B46" s="384"/>
      <c r="C46" s="384"/>
      <c r="D46" s="384"/>
      <c r="E46" s="384"/>
      <c r="F46" s="385"/>
      <c r="G46" s="213">
        <v>95</v>
      </c>
      <c r="H46" s="194"/>
      <c r="I46" s="202"/>
      <c r="J46" s="202"/>
      <c r="L46" s="2" t="s">
        <v>2387</v>
      </c>
    </row>
    <row r="47" spans="1:12" s="2" customFormat="1" ht="15" customHeight="1" x14ac:dyDescent="0.25">
      <c r="A47" s="383" t="s">
        <v>2450</v>
      </c>
      <c r="B47" s="384"/>
      <c r="C47" s="384"/>
      <c r="D47" s="384"/>
      <c r="E47" s="384"/>
      <c r="F47" s="385"/>
      <c r="G47" s="213">
        <v>96</v>
      </c>
      <c r="H47" s="194"/>
      <c r="I47" s="202"/>
      <c r="J47" s="202"/>
      <c r="L47" s="2" t="s">
        <v>2387</v>
      </c>
    </row>
    <row r="48" spans="1:12" s="2" customFormat="1" ht="24.9" customHeight="1" x14ac:dyDescent="0.25">
      <c r="A48" s="354" t="s">
        <v>2451</v>
      </c>
      <c r="B48" s="355"/>
      <c r="C48" s="355"/>
      <c r="D48" s="355"/>
      <c r="E48" s="355"/>
      <c r="F48" s="356"/>
      <c r="G48" s="213">
        <v>97</v>
      </c>
      <c r="H48" s="194"/>
      <c r="I48" s="198">
        <f>ROUND(I49+I50,2)</f>
        <v>0</v>
      </c>
      <c r="J48" s="198">
        <f>ROUND(J49+J50,2)</f>
        <v>0</v>
      </c>
      <c r="L48" s="2" t="s">
        <v>2387</v>
      </c>
    </row>
    <row r="49" spans="1:12" s="2" customFormat="1" ht="15" customHeight="1" x14ac:dyDescent="0.25">
      <c r="A49" s="383" t="s">
        <v>2452</v>
      </c>
      <c r="B49" s="384"/>
      <c r="C49" s="384"/>
      <c r="D49" s="384"/>
      <c r="E49" s="384"/>
      <c r="F49" s="385"/>
      <c r="G49" s="213">
        <v>98</v>
      </c>
      <c r="H49" s="194"/>
      <c r="I49" s="202"/>
      <c r="J49" s="202"/>
      <c r="L49" s="2" t="s">
        <v>2387</v>
      </c>
    </row>
    <row r="50" spans="1:12" s="2" customFormat="1" ht="15" customHeight="1" x14ac:dyDescent="0.25">
      <c r="A50" s="383" t="s">
        <v>2450</v>
      </c>
      <c r="B50" s="384"/>
      <c r="C50" s="384"/>
      <c r="D50" s="384"/>
      <c r="E50" s="384"/>
      <c r="F50" s="385"/>
      <c r="G50" s="213">
        <v>99</v>
      </c>
      <c r="H50" s="194"/>
      <c r="I50" s="202"/>
      <c r="J50" s="202"/>
      <c r="L50" s="2" t="s">
        <v>2387</v>
      </c>
    </row>
    <row r="51" spans="1:12" s="2" customFormat="1" ht="15" customHeight="1" x14ac:dyDescent="0.25">
      <c r="A51" s="354" t="s">
        <v>2453</v>
      </c>
      <c r="B51" s="355"/>
      <c r="C51" s="355"/>
      <c r="D51" s="355"/>
      <c r="E51" s="355"/>
      <c r="F51" s="356"/>
      <c r="G51" s="213">
        <v>100</v>
      </c>
      <c r="H51" s="16"/>
      <c r="I51" s="199"/>
      <c r="J51" s="199"/>
      <c r="L51" s="2" t="s">
        <v>2387</v>
      </c>
    </row>
    <row r="52" spans="1:12" s="2" customFormat="1" ht="24.9" customHeight="1" x14ac:dyDescent="0.25">
      <c r="A52" s="354" t="s">
        <v>2454</v>
      </c>
      <c r="B52" s="355"/>
      <c r="C52" s="355"/>
      <c r="D52" s="355"/>
      <c r="E52" s="355"/>
      <c r="F52" s="356"/>
      <c r="G52" s="213">
        <v>101</v>
      </c>
      <c r="H52" s="16"/>
      <c r="I52" s="198">
        <f>ROUND(I53+I54,2)</f>
        <v>0</v>
      </c>
      <c r="J52" s="198">
        <f>ROUND(J53+J54,2)</f>
        <v>0</v>
      </c>
      <c r="L52" s="2" t="s">
        <v>2387</v>
      </c>
    </row>
    <row r="53" spans="1:12" s="2" customFormat="1" ht="15" customHeight="1" x14ac:dyDescent="0.25">
      <c r="A53" s="383" t="s">
        <v>2452</v>
      </c>
      <c r="B53" s="384"/>
      <c r="C53" s="384"/>
      <c r="D53" s="384"/>
      <c r="E53" s="384"/>
      <c r="F53" s="385"/>
      <c r="G53" s="213">
        <v>102</v>
      </c>
      <c r="H53" s="16"/>
      <c r="I53" s="199"/>
      <c r="J53" s="199"/>
      <c r="L53" s="2" t="s">
        <v>2387</v>
      </c>
    </row>
    <row r="54" spans="1:12" s="2" customFormat="1" ht="15" customHeight="1" x14ac:dyDescent="0.25">
      <c r="A54" s="383" t="s">
        <v>2455</v>
      </c>
      <c r="B54" s="384"/>
      <c r="C54" s="384"/>
      <c r="D54" s="384"/>
      <c r="E54" s="384"/>
      <c r="F54" s="385"/>
      <c r="G54" s="213">
        <v>103</v>
      </c>
      <c r="H54" s="16"/>
      <c r="I54" s="199"/>
      <c r="J54" s="199"/>
      <c r="L54" s="2" t="s">
        <v>2387</v>
      </c>
    </row>
    <row r="55" spans="1:12" s="2" customFormat="1" ht="24.9" customHeight="1" x14ac:dyDescent="0.25">
      <c r="A55" s="354" t="s">
        <v>2456</v>
      </c>
      <c r="B55" s="355"/>
      <c r="C55" s="355"/>
      <c r="D55" s="355"/>
      <c r="E55" s="355"/>
      <c r="F55" s="356"/>
      <c r="G55" s="213">
        <v>104</v>
      </c>
      <c r="H55" s="16"/>
      <c r="I55" s="199"/>
      <c r="J55" s="199"/>
      <c r="L55" s="2" t="s">
        <v>2387</v>
      </c>
    </row>
    <row r="56" spans="1:12" s="2" customFormat="1" ht="15" customHeight="1" x14ac:dyDescent="0.25">
      <c r="A56" s="351" t="s">
        <v>2457</v>
      </c>
      <c r="B56" s="390"/>
      <c r="C56" s="390"/>
      <c r="D56" s="390"/>
      <c r="E56" s="390"/>
      <c r="F56" s="390"/>
      <c r="G56" s="213">
        <v>105</v>
      </c>
      <c r="H56" s="16"/>
      <c r="I56" s="198">
        <f>ROUND(I36+I38,2)</f>
        <v>0</v>
      </c>
      <c r="J56" s="198">
        <f>ROUND(J36+J38,2)</f>
        <v>0</v>
      </c>
      <c r="L56" s="2" t="s">
        <v>2387</v>
      </c>
    </row>
    <row r="57" spans="1:12" s="2" customFormat="1" ht="15" customHeight="1" x14ac:dyDescent="0.25">
      <c r="A57" s="395" t="s">
        <v>2458</v>
      </c>
      <c r="B57" s="395"/>
      <c r="C57" s="395"/>
      <c r="D57" s="395"/>
      <c r="E57" s="395"/>
      <c r="F57" s="395"/>
      <c r="G57" s="396"/>
      <c r="H57" s="396"/>
      <c r="I57" s="396"/>
      <c r="J57" s="396"/>
    </row>
    <row r="58" spans="1:12" s="2" customFormat="1" ht="15" customHeight="1" x14ac:dyDescent="0.25">
      <c r="A58" s="398" t="s">
        <v>2402</v>
      </c>
      <c r="B58" s="399"/>
      <c r="C58" s="399"/>
      <c r="D58" s="399"/>
      <c r="E58" s="399"/>
      <c r="F58" s="399"/>
      <c r="G58" s="213">
        <v>106</v>
      </c>
      <c r="H58" s="16"/>
      <c r="I58" s="199"/>
      <c r="J58" s="199"/>
      <c r="L58" s="2" t="s">
        <v>2387</v>
      </c>
    </row>
    <row r="59" spans="1:12" s="2" customFormat="1" ht="15" customHeight="1" x14ac:dyDescent="0.25">
      <c r="A59" s="393" t="s">
        <v>2403</v>
      </c>
      <c r="B59" s="394"/>
      <c r="C59" s="394"/>
      <c r="D59" s="394"/>
      <c r="E59" s="394"/>
      <c r="F59" s="394"/>
      <c r="G59" s="214">
        <v>107</v>
      </c>
      <c r="H59" s="17"/>
      <c r="I59" s="200"/>
      <c r="J59" s="200"/>
      <c r="L59" s="2" t="s">
        <v>2387</v>
      </c>
    </row>
    <row r="60" spans="1:12" ht="5.0999999999999996" customHeight="1" x14ac:dyDescent="0.2"/>
  </sheetData>
  <sheetProtection password="C79A" sheet="1" objects="1" scenarios="1"/>
  <mergeCells count="59">
    <mergeCell ref="A58:F58"/>
    <mergeCell ref="J2:J3"/>
    <mergeCell ref="A7:F7"/>
    <mergeCell ref="A10:F10"/>
    <mergeCell ref="A9:F9"/>
    <mergeCell ref="A5:J5"/>
    <mergeCell ref="A6:F6"/>
    <mergeCell ref="A20:F20"/>
    <mergeCell ref="A37:J37"/>
    <mergeCell ref="A33:F33"/>
    <mergeCell ref="I4:J4"/>
    <mergeCell ref="A2:I2"/>
    <mergeCell ref="A3:I3"/>
    <mergeCell ref="A18:F18"/>
    <mergeCell ref="A14:F14"/>
    <mergeCell ref="A12:F12"/>
    <mergeCell ref="A59:F59"/>
    <mergeCell ref="A56:F56"/>
    <mergeCell ref="A57:J57"/>
    <mergeCell ref="A13:F13"/>
    <mergeCell ref="A23:F23"/>
    <mergeCell ref="A21:F21"/>
    <mergeCell ref="A22:F22"/>
    <mergeCell ref="A35:F35"/>
    <mergeCell ref="A36:F36"/>
    <mergeCell ref="A31:F31"/>
    <mergeCell ref="A32:F32"/>
    <mergeCell ref="A45:F45"/>
    <mergeCell ref="A46:F46"/>
    <mergeCell ref="A24:F24"/>
    <mergeCell ref="A29:F29"/>
    <mergeCell ref="A30:F30"/>
    <mergeCell ref="A8:J8"/>
    <mergeCell ref="A11:F11"/>
    <mergeCell ref="A15:F15"/>
    <mergeCell ref="A19:J19"/>
    <mergeCell ref="A16:F16"/>
    <mergeCell ref="A17:F17"/>
    <mergeCell ref="A28:F28"/>
    <mergeCell ref="A26:F26"/>
    <mergeCell ref="A27:F27"/>
    <mergeCell ref="A25:F25"/>
    <mergeCell ref="A34:F34"/>
    <mergeCell ref="A48:F48"/>
    <mergeCell ref="A49:F49"/>
    <mergeCell ref="A38:F38"/>
    <mergeCell ref="A39:F39"/>
    <mergeCell ref="A40:F40"/>
    <mergeCell ref="A42:F42"/>
    <mergeCell ref="A43:F43"/>
    <mergeCell ref="A47:F47"/>
    <mergeCell ref="A41:F41"/>
    <mergeCell ref="A44:F44"/>
    <mergeCell ref="A54:F54"/>
    <mergeCell ref="A55:F55"/>
    <mergeCell ref="A53:F53"/>
    <mergeCell ref="A51:F51"/>
    <mergeCell ref="A50:F50"/>
    <mergeCell ref="A52:F52"/>
  </mergeCells>
  <phoneticPr fontId="3" type="noConversion"/>
  <conditionalFormatting sqref="I9:J18 I20:J33">
    <cfRule type="cellIs" dxfId="13" priority="3" stopIfTrue="1" operator="lessThan">
      <formula>0</formula>
    </cfRule>
  </conditionalFormatting>
  <conditionalFormatting sqref="I9:J18">
    <cfRule type="cellIs" dxfId="12" priority="2" stopIfTrue="1" operator="notEqual">
      <formula>ROUND(I9,2)</formula>
    </cfRule>
  </conditionalFormatting>
  <conditionalFormatting sqref="I20:J36 I38:J56 I58:J59">
    <cfRule type="cellIs" dxfId="11" priority="1" stopIfTrue="1" operator="notEqual">
      <formula>ROUND(I20,2)</formula>
    </cfRule>
  </conditionalFormatting>
  <dataValidations count="4">
    <dataValidation type="textLength" operator="lessThan" allowBlank="1" showInputMessage="1" showErrorMessage="1" errorTitle="Redni broj bilješke" error="Redni broj bilješke mora biti text duljine najviše 10 znakova." sqref="H58:H59 H51:H56 H20:H36 H9:H18" xr:uid="{00000000-0002-0000-0400-000000000000}">
      <formula1>10</formula1>
    </dataValidation>
    <dataValidation type="whole" operator="greaterThanOrEqual" allowBlank="1" showInputMessage="1" showErrorMessage="1" errorTitle="Nedopušten upis" error="Dopušten je upis samo pozitivnih cjelobrojnih vrijednosti ili nule" sqref="A1" xr:uid="{00000000-0002-0000-0400-000001000000}">
      <formula1>0</formula1>
    </dataValidation>
    <dataValidation type="decimal" operator="greaterThanOrEqual" allowBlank="1" showErrorMessage="1" errorTitle="Nedopušten unos" error="Dopušten je unos samo pozitivnih vrijednosti zaokruženih na 2 decimale ili nule" sqref="I20:J33 I9:J18" xr:uid="{00000000-0002-0000-0400-000002000000}">
      <formula1>0</formula1>
    </dataValidation>
    <dataValidation type="decimal" operator="notEqual" allowBlank="1" showErrorMessage="1" errorTitle="Nedopušten unos" error="Dopušten je unos pozitivnih ili negativnih vrijednosti zaokruženih na 2 decimale ili nule" sqref="I58:J59 I38:J56 I34:J36" xr:uid="{00000000-0002-0000-0400-00001A000000}">
      <formula1>99999999</formula1>
    </dataValidation>
  </dataValidations>
  <hyperlinks>
    <hyperlink ref="D1" location="Bilanca!A1" tooltip="Unos podataka u Bilancu" display="Bilanca" xr:uid="{00000000-0004-0000-0400-000000000000}"/>
    <hyperlink ref="C1" location="RefStr!A1" tooltip="Unos općih podataka na Referentnu stranicu" display="RefStr" xr:uid="{00000000-0004-0000-0400-000001000000}"/>
    <hyperlink ref="B1" location="Naslovna!A1" tooltip="Naslovna strana, unos općih podataka" display="Naslovna" xr:uid="{00000000-0004-0000-0400-000002000000}"/>
    <hyperlink ref="E1" location="RDG!A1" tooltip="Unos podataka u Račun dobiti i gubitka" display="RDG" xr:uid="{00000000-0004-0000-0400-000003000000}"/>
    <hyperlink ref="F1" location="Dodatni!A1" tooltip="Unos podataka u Dodatne podatke" display="PodDop" xr:uid="{00000000-0004-0000-0400-000004000000}"/>
    <hyperlink ref="G1" location="NT_I!A1" tooltip="Unos podataka u Novčani tijek po indirektnoj metodi" display="NT_I" xr:uid="{00000000-0004-0000-0400-000005000000}"/>
    <hyperlink ref="H1" location="NT_D!A1" tooltip="Unos podataka u Novčani tijek po direktnoj metodi" display="NT_D" xr:uid="{00000000-0004-0000-0400-000006000000}"/>
    <hyperlink ref="J1" location="Kont!A1" tooltip="Provjera pogrešaka i upozorenja na radnom listu Kontrole" display="Kont" xr:uid="{00000000-0004-0000-0400-000007000000}"/>
    <hyperlink ref="I1" location="PK!A1" tooltip="Unos podataka u obrazac Promjene kapitala" display="PK" xr:uid="{00000000-0004-0000-0400-000008000000}"/>
  </hyperlinks>
  <printOptions horizontalCentered="1"/>
  <pageMargins left="0.39370078740157483" right="0.39370078740157483" top="0.59055118110236227" bottom="0.59055118110236227" header="0.39370078740157483" footer="0.39370078740157483"/>
  <pageSetup paperSize="9" scale="94" fitToHeight="0" orientation="portrait" horizontalDpi="1200"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R16"/>
  <sheetViews>
    <sheetView showGridLines="0" showRowColHeaders="0" workbookViewId="0"/>
  </sheetViews>
  <sheetFormatPr defaultColWidth="0" defaultRowHeight="11.4" zeroHeight="1" x14ac:dyDescent="0.2"/>
  <cols>
    <col min="1" max="6" width="9.6640625" style="58" customWidth="1"/>
    <col min="7" max="7" width="5.6640625" style="58" customWidth="1"/>
    <col min="8" max="8" width="5.5546875" style="58" bestFit="1" customWidth="1"/>
    <col min="9" max="10" width="14.6640625" style="58" customWidth="1"/>
    <col min="11" max="11" width="0.88671875" style="58" customWidth="1"/>
    <col min="12" max="12" width="9.109375" style="58" hidden="1" customWidth="1"/>
    <col min="13" max="14" width="11.109375" style="58" hidden="1" customWidth="1"/>
    <col min="15" max="16384" width="9.109375" style="58" hidden="1"/>
  </cols>
  <sheetData>
    <row r="1" spans="1:18" ht="24.9" customHeight="1" thickBot="1" x14ac:dyDescent="0.25">
      <c r="A1" s="93" t="s">
        <v>114</v>
      </c>
      <c r="B1" s="50" t="s">
        <v>115</v>
      </c>
      <c r="C1" s="50" t="s">
        <v>116</v>
      </c>
      <c r="D1" s="50" t="s">
        <v>117</v>
      </c>
      <c r="E1" s="50" t="s">
        <v>96</v>
      </c>
      <c r="F1" s="50" t="s">
        <v>118</v>
      </c>
      <c r="G1" s="50" t="s">
        <v>119</v>
      </c>
      <c r="H1" s="50" t="s">
        <v>120</v>
      </c>
      <c r="I1" s="50" t="s">
        <v>113</v>
      </c>
      <c r="J1" s="51" t="s">
        <v>121</v>
      </c>
      <c r="Q1" s="54">
        <f>MAX(Q2:Q3)</f>
        <v>0</v>
      </c>
      <c r="R1" s="53" t="s">
        <v>2328</v>
      </c>
    </row>
    <row r="2" spans="1:18" s="2" customFormat="1" ht="20.100000000000001" customHeight="1" x14ac:dyDescent="0.25">
      <c r="A2" s="423" t="s">
        <v>2459</v>
      </c>
      <c r="B2" s="424"/>
      <c r="C2" s="424"/>
      <c r="D2" s="424"/>
      <c r="E2" s="424"/>
      <c r="F2" s="424"/>
      <c r="G2" s="424"/>
      <c r="H2" s="424"/>
      <c r="I2" s="425"/>
      <c r="J2" s="362" t="s">
        <v>2460</v>
      </c>
      <c r="Q2" s="54">
        <f>IF(MAX(I9:I15)&gt;0,1,0)</f>
        <v>0</v>
      </c>
      <c r="R2" s="53" t="s">
        <v>2331</v>
      </c>
    </row>
    <row r="3" spans="1:18" s="2" customFormat="1" ht="20.100000000000001" customHeight="1" thickBot="1" x14ac:dyDescent="0.3">
      <c r="A3" s="426" t="str">
        <f xml:space="preserve"> "za razdoblje " &amp; IF(RefStr!C4&lt;&gt;"", TEXT(RefStr!C4, "DD.MM.YYYY."), "__.__.____.") &amp; " do " &amp; IF(RefStr!F4&lt;&gt;"", TEXT(RefStr!F4, "DD.MM.YYYY."),"__.__.____.")</f>
        <v>za razdoblje __.__.____. do __.__.____.</v>
      </c>
      <c r="B3" s="427"/>
      <c r="C3" s="427"/>
      <c r="D3" s="427"/>
      <c r="E3" s="427"/>
      <c r="F3" s="427"/>
      <c r="G3" s="427"/>
      <c r="H3" s="427"/>
      <c r="I3" s="428"/>
      <c r="J3" s="413"/>
      <c r="Q3" s="54">
        <f>IF(MAX(J9:J15)&gt;0,1,0)</f>
        <v>0</v>
      </c>
      <c r="R3" s="53" t="s">
        <v>2332</v>
      </c>
    </row>
    <row r="4" spans="1:18" s="2" customFormat="1" ht="15.9" customHeight="1" x14ac:dyDescent="0.25">
      <c r="A4" s="75"/>
      <c r="B4" s="59"/>
      <c r="C4" s="59"/>
      <c r="D4" s="59"/>
      <c r="E4" s="59"/>
      <c r="F4" s="59"/>
      <c r="G4" s="59"/>
      <c r="H4" s="59"/>
      <c r="I4" s="373" t="str">
        <f>IF(YEAR(RefStr!F4)&gt;2022,"Iznosi u eurima i centima", "Iznosi u kunama bez lipa")</f>
        <v>Iznosi u kunama bez lipa</v>
      </c>
      <c r="J4" s="374"/>
    </row>
    <row r="5" spans="1:18" s="2" customFormat="1" ht="20.100000000000001" customHeight="1" x14ac:dyDescent="0.25">
      <c r="A5" s="417"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418"/>
      <c r="C5" s="418"/>
      <c r="D5" s="418"/>
      <c r="E5" s="418"/>
      <c r="F5" s="418"/>
      <c r="G5" s="418"/>
      <c r="H5" s="418"/>
      <c r="I5" s="418"/>
      <c r="J5" s="419"/>
    </row>
    <row r="6" spans="1:18" s="2" customFormat="1" ht="24.75" customHeight="1" thickBot="1" x14ac:dyDescent="0.3">
      <c r="A6" s="420" t="s">
        <v>2334</v>
      </c>
      <c r="B6" s="421"/>
      <c r="C6" s="421"/>
      <c r="D6" s="421"/>
      <c r="E6" s="421"/>
      <c r="F6" s="421"/>
      <c r="G6" s="422"/>
      <c r="H6" s="61" t="s">
        <v>2335</v>
      </c>
      <c r="I6" s="68" t="s">
        <v>2407</v>
      </c>
      <c r="J6" s="69" t="s">
        <v>2408</v>
      </c>
    </row>
    <row r="7" spans="1:18" s="2" customFormat="1" x14ac:dyDescent="0.25">
      <c r="A7" s="414">
        <v>1</v>
      </c>
      <c r="B7" s="415"/>
      <c r="C7" s="415"/>
      <c r="D7" s="415"/>
      <c r="E7" s="415"/>
      <c r="F7" s="415"/>
      <c r="G7" s="416"/>
      <c r="H7" s="72">
        <v>2</v>
      </c>
      <c r="I7" s="71">
        <v>3</v>
      </c>
      <c r="J7" s="73">
        <v>4</v>
      </c>
    </row>
    <row r="8" spans="1:18" s="2" customFormat="1" x14ac:dyDescent="0.25">
      <c r="A8" s="184"/>
      <c r="B8" s="185"/>
      <c r="C8" s="185"/>
      <c r="D8" s="185"/>
      <c r="E8" s="185"/>
      <c r="F8" s="185"/>
      <c r="G8" s="186"/>
      <c r="H8" s="187"/>
      <c r="I8" s="185"/>
      <c r="J8" s="188"/>
    </row>
    <row r="9" spans="1:18" s="2" customFormat="1" ht="15" customHeight="1" x14ac:dyDescent="0.25">
      <c r="A9" s="412" t="s">
        <v>2461</v>
      </c>
      <c r="B9" s="412"/>
      <c r="C9" s="412"/>
      <c r="D9" s="412"/>
      <c r="E9" s="412"/>
      <c r="F9" s="412"/>
      <c r="G9" s="412"/>
      <c r="H9" s="183">
        <v>108</v>
      </c>
      <c r="I9" s="203"/>
      <c r="J9" s="203"/>
      <c r="L9" s="2" t="s">
        <v>2342</v>
      </c>
    </row>
    <row r="10" spans="1:18" s="2" customFormat="1" ht="15" customHeight="1" x14ac:dyDescent="0.25">
      <c r="A10" s="352" t="s">
        <v>2462</v>
      </c>
      <c r="B10" s="352"/>
      <c r="C10" s="352"/>
      <c r="D10" s="352"/>
      <c r="E10" s="352"/>
      <c r="F10" s="352"/>
      <c r="G10" s="352"/>
      <c r="H10" s="15">
        <v>109</v>
      </c>
      <c r="I10" s="204"/>
      <c r="J10" s="204"/>
      <c r="L10" s="2" t="s">
        <v>2342</v>
      </c>
    </row>
    <row r="11" spans="1:18" s="2" customFormat="1" ht="15" customHeight="1" x14ac:dyDescent="0.25">
      <c r="A11" s="352" t="s">
        <v>2463</v>
      </c>
      <c r="B11" s="352"/>
      <c r="C11" s="352"/>
      <c r="D11" s="352"/>
      <c r="E11" s="352"/>
      <c r="F11" s="352"/>
      <c r="G11" s="352"/>
      <c r="H11" s="15">
        <v>110</v>
      </c>
      <c r="I11" s="204"/>
      <c r="J11" s="204"/>
      <c r="L11" s="2" t="s">
        <v>2342</v>
      </c>
    </row>
    <row r="12" spans="1:18" s="2" customFormat="1" ht="15" customHeight="1" x14ac:dyDescent="0.25">
      <c r="A12" s="352" t="s">
        <v>2464</v>
      </c>
      <c r="B12" s="352"/>
      <c r="C12" s="352"/>
      <c r="D12" s="352"/>
      <c r="E12" s="352"/>
      <c r="F12" s="352"/>
      <c r="G12" s="352"/>
      <c r="H12" s="15">
        <v>111</v>
      </c>
      <c r="I12" s="204"/>
      <c r="J12" s="204"/>
      <c r="L12" s="2" t="s">
        <v>2342</v>
      </c>
    </row>
    <row r="13" spans="1:18" s="2" customFormat="1" ht="15" customHeight="1" x14ac:dyDescent="0.25">
      <c r="A13" s="352" t="s">
        <v>2465</v>
      </c>
      <c r="B13" s="352"/>
      <c r="C13" s="352"/>
      <c r="D13" s="352"/>
      <c r="E13" s="352"/>
      <c r="F13" s="352"/>
      <c r="G13" s="352"/>
      <c r="H13" s="15">
        <v>112</v>
      </c>
      <c r="I13" s="204"/>
      <c r="J13" s="204"/>
      <c r="L13" s="2" t="s">
        <v>2342</v>
      </c>
    </row>
    <row r="14" spans="1:18" s="2" customFormat="1" ht="15" customHeight="1" x14ac:dyDescent="0.25">
      <c r="A14" s="352" t="s">
        <v>2466</v>
      </c>
      <c r="B14" s="352"/>
      <c r="C14" s="352"/>
      <c r="D14" s="352"/>
      <c r="E14" s="352"/>
      <c r="F14" s="352"/>
      <c r="G14" s="352"/>
      <c r="H14" s="15">
        <v>113</v>
      </c>
      <c r="I14" s="204"/>
      <c r="J14" s="204"/>
      <c r="L14" s="2" t="s">
        <v>2342</v>
      </c>
    </row>
    <row r="15" spans="1:18" s="2" customFormat="1" ht="15" customHeight="1" x14ac:dyDescent="0.25">
      <c r="A15" s="353" t="s">
        <v>2467</v>
      </c>
      <c r="B15" s="353"/>
      <c r="C15" s="353"/>
      <c r="D15" s="353"/>
      <c r="E15" s="353"/>
      <c r="F15" s="353"/>
      <c r="G15" s="353"/>
      <c r="H15" s="182">
        <v>114</v>
      </c>
      <c r="I15" s="205"/>
      <c r="J15" s="205"/>
      <c r="L15" s="2" t="s">
        <v>2342</v>
      </c>
    </row>
    <row r="16" spans="1:18" ht="5.0999999999999996" customHeight="1" x14ac:dyDescent="0.2">
      <c r="O16" s="2"/>
      <c r="P16" s="2"/>
    </row>
  </sheetData>
  <sheetProtection password="C79A" sheet="1" objects="1" scenarios="1"/>
  <mergeCells count="14">
    <mergeCell ref="J2:J3"/>
    <mergeCell ref="A7:G7"/>
    <mergeCell ref="A5:J5"/>
    <mergeCell ref="A6:G6"/>
    <mergeCell ref="A2:I2"/>
    <mergeCell ref="A3:I3"/>
    <mergeCell ref="I4:J4"/>
    <mergeCell ref="A9:G9"/>
    <mergeCell ref="A10:G10"/>
    <mergeCell ref="A11:G11"/>
    <mergeCell ref="A15:G15"/>
    <mergeCell ref="A12:G12"/>
    <mergeCell ref="A13:G13"/>
    <mergeCell ref="A14:G14"/>
  </mergeCells>
  <phoneticPr fontId="3" type="noConversion"/>
  <conditionalFormatting sqref="I9:J15">
    <cfRule type="cellIs" dxfId="10" priority="1" stopIfTrue="1" operator="notEqual">
      <formula>ROUND(I9,2)</formula>
    </cfRule>
    <cfRule type="cellIs" dxfId="9" priority="2" stopIfTrue="1" operator="lessThan">
      <formula>0</formula>
    </cfRule>
  </conditionalFormatting>
  <dataValidations count="1">
    <dataValidation type="decimal" operator="greaterThanOrEqual" allowBlank="1" showErrorMessage="1" errorTitle="Nedopušten unos" error="Dopušten je unos samo pozitivnih vrijednosti zaokruženih na 2 decimale ili nule" sqref="I9:J15" xr:uid="{00000000-0002-0000-0500-000000000000}">
      <formula1>0</formula1>
    </dataValidation>
  </dataValidations>
  <hyperlinks>
    <hyperlink ref="D1" location="Bilanca!A1" tooltip="Unos podataka u Bilancu" display="Bilanca" xr:uid="{00000000-0004-0000-0500-000000000000}"/>
    <hyperlink ref="C1" location="RefStr!A1" tooltip="Unos općih podataka na Referentnu stranicu" display="RefStr" xr:uid="{00000000-0004-0000-0500-000001000000}"/>
    <hyperlink ref="B1" location="Naslovna!A1" tooltip="Naslovna strana, unos općih podataka" display="Naslovna" xr:uid="{00000000-0004-0000-0500-000002000000}"/>
    <hyperlink ref="E1" location="RDG!A1" tooltip="Unos podataka u Račun dobiti i gubitka" display="RDG" xr:uid="{00000000-0004-0000-0500-000003000000}"/>
    <hyperlink ref="F1" location="Dodatni!A1" tooltip="Unos podataka u Dodatne podatke" display="PodDop" xr:uid="{00000000-0004-0000-0500-000004000000}"/>
    <hyperlink ref="G1" location="NT_I!A1" tooltip="Unos podataka u Novčani tijek po indirektnoj metodi" display="NT_I" xr:uid="{00000000-0004-0000-0500-000005000000}"/>
    <hyperlink ref="H1" location="NT_D!A1" tooltip="Unos podataka u Novčani tijek po direktnoj metodi" display="NT_D" xr:uid="{00000000-0004-0000-0500-000006000000}"/>
    <hyperlink ref="J1" location="Kont!A1" tooltip="Provjera pogrešaka i upozorenja na radnom listu Kontrole" display="Kont" xr:uid="{00000000-0004-0000-0500-000007000000}"/>
    <hyperlink ref="I1" location="PK!A1" tooltip="Unos podataka u obrazac Promjene kapitala" display="PK" xr:uid="{00000000-0004-0000-0500-000008000000}"/>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R43"/>
  <sheetViews>
    <sheetView showGridLines="0" showRowColHeaders="0" workbookViewId="0"/>
  </sheetViews>
  <sheetFormatPr defaultColWidth="0" defaultRowHeight="11.4" zeroHeight="1" x14ac:dyDescent="0.2"/>
  <cols>
    <col min="1" max="6" width="11.6640625" style="58" customWidth="1"/>
    <col min="7" max="8" width="5.6640625" style="58" customWidth="1"/>
    <col min="9" max="10" width="14.6640625" style="58" customWidth="1"/>
    <col min="11" max="11" width="0.88671875" style="58" customWidth="1"/>
    <col min="12" max="16384" width="9.109375" style="58" hidden="1"/>
  </cols>
  <sheetData>
    <row r="1" spans="1:18" ht="24.9" customHeight="1" thickBot="1" x14ac:dyDescent="0.25">
      <c r="A1" s="93" t="s">
        <v>114</v>
      </c>
      <c r="B1" s="50" t="s">
        <v>115</v>
      </c>
      <c r="C1" s="50" t="s">
        <v>116</v>
      </c>
      <c r="D1" s="50" t="s">
        <v>117</v>
      </c>
      <c r="E1" s="50" t="s">
        <v>96</v>
      </c>
      <c r="F1" s="50" t="s">
        <v>118</v>
      </c>
      <c r="G1" s="50" t="s">
        <v>119</v>
      </c>
      <c r="H1" s="50" t="s">
        <v>120</v>
      </c>
      <c r="I1" s="50" t="s">
        <v>113</v>
      </c>
      <c r="J1" s="51" t="s">
        <v>121</v>
      </c>
      <c r="Q1" s="54">
        <f>IF(OR(MIN(I8:J41)&lt;0,MAX(I8:J41)&gt;0),1,0)</f>
        <v>0</v>
      </c>
      <c r="R1" s="53" t="s">
        <v>2328</v>
      </c>
    </row>
    <row r="2" spans="1:18" s="2" customFormat="1" ht="20.100000000000001" customHeight="1" x14ac:dyDescent="0.25">
      <c r="A2" s="423" t="s">
        <v>2468</v>
      </c>
      <c r="B2" s="424"/>
      <c r="C2" s="424"/>
      <c r="D2" s="424"/>
      <c r="E2" s="424"/>
      <c r="F2" s="424"/>
      <c r="G2" s="424"/>
      <c r="H2" s="424"/>
      <c r="I2" s="429"/>
      <c r="J2" s="362" t="s">
        <v>2469</v>
      </c>
      <c r="Q2" s="54">
        <f>IF(OR(MIN(I8:I41)&lt;0,MAX(I8:I41)&gt;0),1,0)</f>
        <v>0</v>
      </c>
      <c r="R2" s="53" t="s">
        <v>2331</v>
      </c>
    </row>
    <row r="3" spans="1:18" s="2" customFormat="1" ht="20.100000000000001" customHeight="1" thickBot="1" x14ac:dyDescent="0.3">
      <c r="A3" s="426" t="str">
        <f xml:space="preserve"> "u razdoblju " &amp; IF(RefStr!C4&lt;&gt;"", TEXT(RefStr!C4, "DD.MM.YYYY."), "__.__.____.") &amp; " do " &amp; IF(RefStr!F4&lt;&gt;"", TEXT(RefStr!F4, "DD.MM.YYYY."),"__.__.____.")</f>
        <v>u razdoblju __.__.____. do __.__.____.</v>
      </c>
      <c r="B3" s="427"/>
      <c r="C3" s="427"/>
      <c r="D3" s="427"/>
      <c r="E3" s="427"/>
      <c r="F3" s="427"/>
      <c r="G3" s="427"/>
      <c r="H3" s="427"/>
      <c r="I3" s="430"/>
      <c r="J3" s="413"/>
      <c r="Q3" s="54">
        <f>IF(OR(MIN(J8:J41)&lt;0,MAX(J8:J41)&gt;0),1,0)</f>
        <v>0</v>
      </c>
      <c r="R3" s="53" t="s">
        <v>2332</v>
      </c>
    </row>
    <row r="4" spans="1:18" s="2" customFormat="1" ht="15.9" customHeight="1" x14ac:dyDescent="0.25">
      <c r="A4" s="75"/>
      <c r="B4" s="59"/>
      <c r="C4" s="59"/>
      <c r="D4" s="59"/>
      <c r="E4" s="59"/>
      <c r="F4" s="59"/>
      <c r="G4" s="59"/>
      <c r="H4" s="59"/>
      <c r="I4" s="373" t="str">
        <f>IF(YEAR(RefStr!F4)&gt;2022,"Iznosi u eurima i centima", "Iznosi u kunama bez lipa")</f>
        <v>Iznosi u kunama bez lipa</v>
      </c>
      <c r="J4" s="374"/>
    </row>
    <row r="5" spans="1:18" s="2" customFormat="1" ht="15" customHeight="1" x14ac:dyDescent="0.25">
      <c r="A5" s="370"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371"/>
      <c r="C5" s="371"/>
      <c r="D5" s="371"/>
      <c r="E5" s="371"/>
      <c r="F5" s="371"/>
      <c r="G5" s="371"/>
      <c r="H5" s="371"/>
      <c r="I5" s="371"/>
      <c r="J5" s="372"/>
    </row>
    <row r="6" spans="1:18" s="2" customFormat="1" ht="24.75" customHeight="1" thickBot="1" x14ac:dyDescent="0.3">
      <c r="A6" s="434" t="s">
        <v>2334</v>
      </c>
      <c r="B6" s="435"/>
      <c r="C6" s="435"/>
      <c r="D6" s="435"/>
      <c r="E6" s="435"/>
      <c r="F6" s="435"/>
      <c r="G6" s="61" t="s">
        <v>2335</v>
      </c>
      <c r="H6" s="63" t="s">
        <v>2336</v>
      </c>
      <c r="I6" s="61" t="s">
        <v>2407</v>
      </c>
      <c r="J6" s="62" t="s">
        <v>2408</v>
      </c>
    </row>
    <row r="7" spans="1:18" s="2" customFormat="1" ht="14.1" customHeight="1" x14ac:dyDescent="0.25">
      <c r="A7" s="436">
        <v>1</v>
      </c>
      <c r="B7" s="437"/>
      <c r="C7" s="437"/>
      <c r="D7" s="437"/>
      <c r="E7" s="437"/>
      <c r="F7" s="437"/>
      <c r="G7" s="76">
        <v>2</v>
      </c>
      <c r="H7" s="77">
        <v>3</v>
      </c>
      <c r="I7" s="78">
        <v>4</v>
      </c>
      <c r="J7" s="79">
        <v>5</v>
      </c>
    </row>
    <row r="8" spans="1:18" s="2" customFormat="1" ht="15" customHeight="1" x14ac:dyDescent="0.25">
      <c r="A8" s="432"/>
      <c r="B8" s="433"/>
      <c r="C8" s="433"/>
      <c r="D8" s="433"/>
      <c r="E8" s="433"/>
      <c r="F8" s="433"/>
      <c r="G8" s="433"/>
      <c r="H8" s="433"/>
      <c r="I8" s="433"/>
      <c r="J8" s="433"/>
    </row>
    <row r="9" spans="1:18" s="2" customFormat="1" ht="15" customHeight="1" x14ac:dyDescent="0.25">
      <c r="A9" s="390" t="s">
        <v>2470</v>
      </c>
      <c r="B9" s="390"/>
      <c r="C9" s="390"/>
      <c r="D9" s="390"/>
      <c r="E9" s="390"/>
      <c r="F9" s="390"/>
      <c r="G9" s="213">
        <v>1</v>
      </c>
      <c r="H9" s="195"/>
      <c r="I9" s="198">
        <f>ROUND(SUM(I10:I32),2)</f>
        <v>0</v>
      </c>
      <c r="J9" s="198">
        <f>ROUND(SUM(J10:J32),2)</f>
        <v>0</v>
      </c>
      <c r="L9" s="2" t="s">
        <v>2387</v>
      </c>
    </row>
    <row r="10" spans="1:18" s="2" customFormat="1" ht="15" customHeight="1" x14ac:dyDescent="0.25">
      <c r="A10" s="389" t="s">
        <v>2471</v>
      </c>
      <c r="B10" s="389"/>
      <c r="C10" s="389"/>
      <c r="D10" s="389"/>
      <c r="E10" s="389"/>
      <c r="F10" s="389"/>
      <c r="G10" s="213">
        <v>2</v>
      </c>
      <c r="H10" s="195"/>
      <c r="I10" s="199"/>
      <c r="J10" s="199"/>
      <c r="L10" s="2" t="s">
        <v>2387</v>
      </c>
    </row>
    <row r="11" spans="1:18" s="2" customFormat="1" ht="15" customHeight="1" x14ac:dyDescent="0.25">
      <c r="A11" s="389" t="s">
        <v>2472</v>
      </c>
      <c r="B11" s="389"/>
      <c r="C11" s="389"/>
      <c r="D11" s="389"/>
      <c r="E11" s="389"/>
      <c r="F11" s="389"/>
      <c r="G11" s="213">
        <v>3</v>
      </c>
      <c r="H11" s="195"/>
      <c r="I11" s="199"/>
      <c r="J11" s="199"/>
      <c r="L11" s="2" t="s">
        <v>2387</v>
      </c>
    </row>
    <row r="12" spans="1:18" s="2" customFormat="1" ht="15" customHeight="1" x14ac:dyDescent="0.25">
      <c r="A12" s="431" t="s">
        <v>2473</v>
      </c>
      <c r="B12" s="431"/>
      <c r="C12" s="431"/>
      <c r="D12" s="431"/>
      <c r="E12" s="431"/>
      <c r="F12" s="431"/>
      <c r="G12" s="213">
        <v>4</v>
      </c>
      <c r="H12" s="195"/>
      <c r="I12" s="199"/>
      <c r="J12" s="199"/>
      <c r="L12" s="2" t="s">
        <v>2387</v>
      </c>
    </row>
    <row r="13" spans="1:18" s="2" customFormat="1" ht="15" customHeight="1" x14ac:dyDescent="0.25">
      <c r="A13" s="431" t="s">
        <v>2474</v>
      </c>
      <c r="B13" s="431"/>
      <c r="C13" s="431"/>
      <c r="D13" s="431"/>
      <c r="E13" s="431"/>
      <c r="F13" s="431"/>
      <c r="G13" s="213">
        <v>5</v>
      </c>
      <c r="H13" s="195"/>
      <c r="I13" s="199"/>
      <c r="J13" s="199"/>
      <c r="L13" s="2" t="s">
        <v>2387</v>
      </c>
    </row>
    <row r="14" spans="1:18" s="2" customFormat="1" ht="15" customHeight="1" x14ac:dyDescent="0.25">
      <c r="A14" s="389" t="s">
        <v>2475</v>
      </c>
      <c r="B14" s="389"/>
      <c r="C14" s="389"/>
      <c r="D14" s="389"/>
      <c r="E14" s="389"/>
      <c r="F14" s="389"/>
      <c r="G14" s="213">
        <v>6</v>
      </c>
      <c r="H14" s="195"/>
      <c r="I14" s="199"/>
      <c r="J14" s="199"/>
      <c r="L14" s="2" t="s">
        <v>2387</v>
      </c>
    </row>
    <row r="15" spans="1:18" s="2" customFormat="1" ht="15" customHeight="1" x14ac:dyDescent="0.25">
      <c r="A15" s="389" t="s">
        <v>2476</v>
      </c>
      <c r="B15" s="389"/>
      <c r="C15" s="389"/>
      <c r="D15" s="389"/>
      <c r="E15" s="389"/>
      <c r="F15" s="389"/>
      <c r="G15" s="213">
        <v>7</v>
      </c>
      <c r="H15" s="195"/>
      <c r="I15" s="199"/>
      <c r="J15" s="199"/>
      <c r="L15" s="2" t="s">
        <v>2387</v>
      </c>
    </row>
    <row r="16" spans="1:18" s="2" customFormat="1" ht="15" customHeight="1" x14ac:dyDescent="0.25">
      <c r="A16" s="389" t="s">
        <v>2477</v>
      </c>
      <c r="B16" s="389"/>
      <c r="C16" s="389"/>
      <c r="D16" s="389"/>
      <c r="E16" s="389"/>
      <c r="F16" s="389"/>
      <c r="G16" s="213">
        <v>8</v>
      </c>
      <c r="H16" s="195"/>
      <c r="I16" s="199"/>
      <c r="J16" s="199"/>
      <c r="L16" s="2" t="s">
        <v>2387</v>
      </c>
    </row>
    <row r="17" spans="1:12" s="2" customFormat="1" ht="15" customHeight="1" x14ac:dyDescent="0.25">
      <c r="A17" s="389" t="s">
        <v>2478</v>
      </c>
      <c r="B17" s="389"/>
      <c r="C17" s="389"/>
      <c r="D17" s="389"/>
      <c r="E17" s="389"/>
      <c r="F17" s="389"/>
      <c r="G17" s="213">
        <v>9</v>
      </c>
      <c r="H17" s="195"/>
      <c r="I17" s="199"/>
      <c r="J17" s="199"/>
      <c r="L17" s="2" t="s">
        <v>2387</v>
      </c>
    </row>
    <row r="18" spans="1:12" s="2" customFormat="1" ht="15" customHeight="1" x14ac:dyDescent="0.25">
      <c r="A18" s="389" t="s">
        <v>2479</v>
      </c>
      <c r="B18" s="389"/>
      <c r="C18" s="389"/>
      <c r="D18" s="389"/>
      <c r="E18" s="389"/>
      <c r="F18" s="389"/>
      <c r="G18" s="213">
        <v>10</v>
      </c>
      <c r="H18" s="195"/>
      <c r="I18" s="199"/>
      <c r="J18" s="199"/>
      <c r="L18" s="2" t="s">
        <v>2387</v>
      </c>
    </row>
    <row r="19" spans="1:12" s="2" customFormat="1" ht="15" customHeight="1" x14ac:dyDescent="0.25">
      <c r="A19" s="389" t="s">
        <v>2480</v>
      </c>
      <c r="B19" s="389"/>
      <c r="C19" s="389"/>
      <c r="D19" s="389"/>
      <c r="E19" s="389"/>
      <c r="F19" s="389"/>
      <c r="G19" s="213">
        <v>11</v>
      </c>
      <c r="H19" s="195"/>
      <c r="I19" s="199"/>
      <c r="J19" s="199"/>
      <c r="L19" s="2" t="s">
        <v>2387</v>
      </c>
    </row>
    <row r="20" spans="1:12" s="2" customFormat="1" ht="15" customHeight="1" x14ac:dyDescent="0.25">
      <c r="A20" s="389" t="s">
        <v>2481</v>
      </c>
      <c r="B20" s="389"/>
      <c r="C20" s="389"/>
      <c r="D20" s="389"/>
      <c r="E20" s="389"/>
      <c r="F20" s="389"/>
      <c r="G20" s="213">
        <v>12</v>
      </c>
      <c r="H20" s="195"/>
      <c r="I20" s="199"/>
      <c r="J20" s="199"/>
      <c r="L20" s="2" t="s">
        <v>2387</v>
      </c>
    </row>
    <row r="21" spans="1:12" s="2" customFormat="1" ht="15" customHeight="1" x14ac:dyDescent="0.25">
      <c r="A21" s="389" t="s">
        <v>2482</v>
      </c>
      <c r="B21" s="389"/>
      <c r="C21" s="389"/>
      <c r="D21" s="389"/>
      <c r="E21" s="389"/>
      <c r="F21" s="389"/>
      <c r="G21" s="213">
        <v>13</v>
      </c>
      <c r="H21" s="195"/>
      <c r="I21" s="199"/>
      <c r="J21" s="199"/>
      <c r="L21" s="2" t="s">
        <v>2387</v>
      </c>
    </row>
    <row r="22" spans="1:12" s="2" customFormat="1" ht="15" customHeight="1" x14ac:dyDescent="0.25">
      <c r="A22" s="389" t="s">
        <v>2483</v>
      </c>
      <c r="B22" s="389"/>
      <c r="C22" s="389"/>
      <c r="D22" s="389"/>
      <c r="E22" s="389"/>
      <c r="F22" s="389"/>
      <c r="G22" s="213">
        <v>14</v>
      </c>
      <c r="H22" s="195"/>
      <c r="I22" s="199"/>
      <c r="J22" s="199"/>
      <c r="L22" s="2" t="s">
        <v>2387</v>
      </c>
    </row>
    <row r="23" spans="1:12" s="2" customFormat="1" ht="15" customHeight="1" x14ac:dyDescent="0.25">
      <c r="A23" s="389" t="s">
        <v>2484</v>
      </c>
      <c r="B23" s="389"/>
      <c r="C23" s="389"/>
      <c r="D23" s="389"/>
      <c r="E23" s="389"/>
      <c r="F23" s="389"/>
      <c r="G23" s="213">
        <v>15</v>
      </c>
      <c r="H23" s="195"/>
      <c r="I23" s="199"/>
      <c r="J23" s="199"/>
      <c r="L23" s="2" t="s">
        <v>2387</v>
      </c>
    </row>
    <row r="24" spans="1:12" s="2" customFormat="1" ht="15" customHeight="1" x14ac:dyDescent="0.25">
      <c r="A24" s="389" t="s">
        <v>2485</v>
      </c>
      <c r="B24" s="389"/>
      <c r="C24" s="389"/>
      <c r="D24" s="389"/>
      <c r="E24" s="389"/>
      <c r="F24" s="389"/>
      <c r="G24" s="213">
        <v>16</v>
      </c>
      <c r="H24" s="195"/>
      <c r="I24" s="199"/>
      <c r="J24" s="199"/>
      <c r="L24" s="2" t="s">
        <v>2387</v>
      </c>
    </row>
    <row r="25" spans="1:12" s="2" customFormat="1" ht="15" customHeight="1" x14ac:dyDescent="0.25">
      <c r="A25" s="389" t="s">
        <v>2486</v>
      </c>
      <c r="B25" s="389"/>
      <c r="C25" s="389"/>
      <c r="D25" s="389"/>
      <c r="E25" s="389"/>
      <c r="F25" s="389"/>
      <c r="G25" s="213">
        <v>17</v>
      </c>
      <c r="H25" s="195"/>
      <c r="I25" s="199"/>
      <c r="J25" s="199"/>
      <c r="L25" s="2" t="s">
        <v>2387</v>
      </c>
    </row>
    <row r="26" spans="1:12" s="2" customFormat="1" ht="15" customHeight="1" x14ac:dyDescent="0.25">
      <c r="A26" s="389" t="s">
        <v>2487</v>
      </c>
      <c r="B26" s="389"/>
      <c r="C26" s="389"/>
      <c r="D26" s="389"/>
      <c r="E26" s="389"/>
      <c r="F26" s="389"/>
      <c r="G26" s="213">
        <v>18</v>
      </c>
      <c r="H26" s="195"/>
      <c r="I26" s="199"/>
      <c r="J26" s="199"/>
      <c r="L26" s="2" t="s">
        <v>2387</v>
      </c>
    </row>
    <row r="27" spans="1:12" s="2" customFormat="1" ht="15" customHeight="1" x14ac:dyDescent="0.25">
      <c r="A27" s="389" t="s">
        <v>2488</v>
      </c>
      <c r="B27" s="389"/>
      <c r="C27" s="389"/>
      <c r="D27" s="389"/>
      <c r="E27" s="389"/>
      <c r="F27" s="389"/>
      <c r="G27" s="213">
        <v>19</v>
      </c>
      <c r="H27" s="195"/>
      <c r="I27" s="199"/>
      <c r="J27" s="199"/>
      <c r="L27" s="2" t="s">
        <v>2387</v>
      </c>
    </row>
    <row r="28" spans="1:12" s="2" customFormat="1" ht="15" customHeight="1" x14ac:dyDescent="0.25">
      <c r="A28" s="389" t="s">
        <v>2489</v>
      </c>
      <c r="B28" s="389"/>
      <c r="C28" s="389"/>
      <c r="D28" s="389"/>
      <c r="E28" s="389"/>
      <c r="F28" s="389"/>
      <c r="G28" s="213">
        <v>20</v>
      </c>
      <c r="H28" s="195"/>
      <c r="I28" s="199"/>
      <c r="J28" s="199"/>
      <c r="L28" s="2" t="s">
        <v>2387</v>
      </c>
    </row>
    <row r="29" spans="1:12" s="2" customFormat="1" ht="15" customHeight="1" x14ac:dyDescent="0.25">
      <c r="A29" s="389" t="s">
        <v>2490</v>
      </c>
      <c r="B29" s="389"/>
      <c r="C29" s="389"/>
      <c r="D29" s="389"/>
      <c r="E29" s="389"/>
      <c r="F29" s="389"/>
      <c r="G29" s="213">
        <v>21</v>
      </c>
      <c r="H29" s="195"/>
      <c r="I29" s="199"/>
      <c r="J29" s="199"/>
      <c r="L29" s="2" t="s">
        <v>2387</v>
      </c>
    </row>
    <row r="30" spans="1:12" s="2" customFormat="1" ht="15" customHeight="1" x14ac:dyDescent="0.25">
      <c r="A30" s="389" t="s">
        <v>2491</v>
      </c>
      <c r="B30" s="389"/>
      <c r="C30" s="389"/>
      <c r="D30" s="389"/>
      <c r="E30" s="389"/>
      <c r="F30" s="389"/>
      <c r="G30" s="213">
        <v>22</v>
      </c>
      <c r="H30" s="195"/>
      <c r="I30" s="199"/>
      <c r="J30" s="199"/>
      <c r="L30" s="2" t="s">
        <v>2387</v>
      </c>
    </row>
    <row r="31" spans="1:12" s="2" customFormat="1" ht="15" customHeight="1" x14ac:dyDescent="0.25">
      <c r="A31" s="389" t="s">
        <v>2492</v>
      </c>
      <c r="B31" s="389"/>
      <c r="C31" s="389"/>
      <c r="D31" s="389"/>
      <c r="E31" s="389"/>
      <c r="F31" s="389"/>
      <c r="G31" s="213">
        <v>23</v>
      </c>
      <c r="H31" s="195"/>
      <c r="I31" s="199"/>
      <c r="J31" s="199"/>
      <c r="L31" s="2" t="s">
        <v>2387</v>
      </c>
    </row>
    <row r="32" spans="1:12" s="2" customFormat="1" ht="15" customHeight="1" x14ac:dyDescent="0.25">
      <c r="A32" s="389" t="s">
        <v>2493</v>
      </c>
      <c r="B32" s="389"/>
      <c r="C32" s="389"/>
      <c r="D32" s="389"/>
      <c r="E32" s="389"/>
      <c r="F32" s="389"/>
      <c r="G32" s="213">
        <v>24</v>
      </c>
      <c r="H32" s="195"/>
      <c r="I32" s="199"/>
      <c r="J32" s="199"/>
      <c r="L32" s="2" t="s">
        <v>2387</v>
      </c>
    </row>
    <row r="33" spans="1:16" s="2" customFormat="1" ht="15" customHeight="1" x14ac:dyDescent="0.25">
      <c r="A33" s="390" t="s">
        <v>2494</v>
      </c>
      <c r="B33" s="390"/>
      <c r="C33" s="390"/>
      <c r="D33" s="390"/>
      <c r="E33" s="390"/>
      <c r="F33" s="390"/>
      <c r="G33" s="213">
        <v>25</v>
      </c>
      <c r="H33" s="196"/>
      <c r="I33" s="198">
        <f>ROUND(SUM(I34:I38),2)</f>
        <v>0</v>
      </c>
      <c r="J33" s="198">
        <f>ROUND(SUM(J34:J38),2)</f>
        <v>0</v>
      </c>
      <c r="L33" s="2" t="s">
        <v>2387</v>
      </c>
    </row>
    <row r="34" spans="1:16" s="2" customFormat="1" ht="15" customHeight="1" x14ac:dyDescent="0.25">
      <c r="A34" s="389" t="s">
        <v>2495</v>
      </c>
      <c r="B34" s="389"/>
      <c r="C34" s="389"/>
      <c r="D34" s="389"/>
      <c r="E34" s="389"/>
      <c r="F34" s="389"/>
      <c r="G34" s="213">
        <v>26</v>
      </c>
      <c r="H34" s="195"/>
      <c r="I34" s="206"/>
      <c r="J34" s="206"/>
      <c r="L34" s="2" t="s">
        <v>2387</v>
      </c>
    </row>
    <row r="35" spans="1:16" s="2" customFormat="1" ht="14.1" customHeight="1" x14ac:dyDescent="0.25">
      <c r="A35" s="389" t="s">
        <v>2496</v>
      </c>
      <c r="B35" s="389"/>
      <c r="C35" s="389"/>
      <c r="D35" s="389"/>
      <c r="E35" s="389"/>
      <c r="F35" s="389"/>
      <c r="G35" s="213">
        <v>27</v>
      </c>
      <c r="H35" s="195"/>
      <c r="I35" s="206"/>
      <c r="J35" s="206"/>
      <c r="L35" s="2" t="s">
        <v>2387</v>
      </c>
    </row>
    <row r="36" spans="1:16" s="2" customFormat="1" ht="14.1" customHeight="1" x14ac:dyDescent="0.25">
      <c r="A36" s="389" t="s">
        <v>2497</v>
      </c>
      <c r="B36" s="389"/>
      <c r="C36" s="389"/>
      <c r="D36" s="389"/>
      <c r="E36" s="389"/>
      <c r="F36" s="389"/>
      <c r="G36" s="213">
        <v>28</v>
      </c>
      <c r="H36" s="195"/>
      <c r="I36" s="206"/>
      <c r="J36" s="206"/>
      <c r="L36" s="2" t="s">
        <v>2387</v>
      </c>
    </row>
    <row r="37" spans="1:16" s="2" customFormat="1" ht="14.1" customHeight="1" x14ac:dyDescent="0.25">
      <c r="A37" s="389" t="s">
        <v>2498</v>
      </c>
      <c r="B37" s="389"/>
      <c r="C37" s="389"/>
      <c r="D37" s="389"/>
      <c r="E37" s="389"/>
      <c r="F37" s="389"/>
      <c r="G37" s="213">
        <v>29</v>
      </c>
      <c r="H37" s="195"/>
      <c r="I37" s="206"/>
      <c r="J37" s="206"/>
      <c r="L37" s="2" t="s">
        <v>2387</v>
      </c>
    </row>
    <row r="38" spans="1:16" s="2" customFormat="1" ht="14.1" customHeight="1" x14ac:dyDescent="0.25">
      <c r="A38" s="389" t="s">
        <v>2499</v>
      </c>
      <c r="B38" s="389"/>
      <c r="C38" s="389"/>
      <c r="D38" s="389"/>
      <c r="E38" s="389"/>
      <c r="F38" s="389"/>
      <c r="G38" s="213">
        <v>30</v>
      </c>
      <c r="H38" s="195"/>
      <c r="I38" s="206"/>
      <c r="J38" s="206"/>
      <c r="L38" s="2" t="s">
        <v>2387</v>
      </c>
    </row>
    <row r="39" spans="1:16" s="2" customFormat="1" ht="14.1" customHeight="1" x14ac:dyDescent="0.25">
      <c r="A39" s="390" t="s">
        <v>2500</v>
      </c>
      <c r="B39" s="390"/>
      <c r="C39" s="390"/>
      <c r="D39" s="390"/>
      <c r="E39" s="390"/>
      <c r="F39" s="390"/>
      <c r="G39" s="213">
        <v>31</v>
      </c>
      <c r="H39" s="195"/>
      <c r="I39" s="198">
        <f>ROUND(I9+I33,2)</f>
        <v>0</v>
      </c>
      <c r="J39" s="198">
        <f>ROUND(J9+J33,2)</f>
        <v>0</v>
      </c>
      <c r="L39" s="2" t="s">
        <v>2387</v>
      </c>
    </row>
    <row r="40" spans="1:16" s="2" customFormat="1" ht="14.1" customHeight="1" x14ac:dyDescent="0.25">
      <c r="A40" s="390" t="s">
        <v>2501</v>
      </c>
      <c r="B40" s="390"/>
      <c r="C40" s="390"/>
      <c r="D40" s="390"/>
      <c r="E40" s="390"/>
      <c r="F40" s="390"/>
      <c r="G40" s="15">
        <v>32</v>
      </c>
      <c r="H40" s="195"/>
      <c r="I40" s="206"/>
      <c r="J40" s="206"/>
      <c r="L40" s="2" t="s">
        <v>2342</v>
      </c>
    </row>
    <row r="41" spans="1:16" s="2" customFormat="1" ht="14.1" customHeight="1" x14ac:dyDescent="0.25">
      <c r="A41" s="411" t="s">
        <v>2502</v>
      </c>
      <c r="B41" s="411"/>
      <c r="C41" s="411"/>
      <c r="D41" s="411"/>
      <c r="E41" s="411"/>
      <c r="F41" s="411"/>
      <c r="G41" s="182">
        <v>33</v>
      </c>
      <c r="H41" s="197"/>
      <c r="I41" s="201">
        <f>ROUND(SUM(I39:I40),2)</f>
        <v>0</v>
      </c>
      <c r="J41" s="201">
        <f>ROUND(SUM(J39:J40),2)</f>
        <v>0</v>
      </c>
      <c r="L41" s="2" t="s">
        <v>2342</v>
      </c>
    </row>
    <row r="42" spans="1:16" ht="5.0999999999999996" customHeight="1" x14ac:dyDescent="0.2">
      <c r="O42" s="2"/>
      <c r="P42" s="2"/>
    </row>
    <row r="43" spans="1:16" hidden="1" x14ac:dyDescent="0.2">
      <c r="O43" s="2"/>
      <c r="P43" s="2"/>
    </row>
  </sheetData>
  <sheetProtection password="C79A" sheet="1" objects="1" scenarios="1"/>
  <mergeCells count="41">
    <mergeCell ref="A28:F28"/>
    <mergeCell ref="A29:F29"/>
    <mergeCell ref="A27:F27"/>
    <mergeCell ref="A30:F30"/>
    <mergeCell ref="A34:F34"/>
    <mergeCell ref="A31:F31"/>
    <mergeCell ref="A32:F32"/>
    <mergeCell ref="A41:F41"/>
    <mergeCell ref="A40:F40"/>
    <mergeCell ref="A38:F38"/>
    <mergeCell ref="A37:F37"/>
    <mergeCell ref="A39:F39"/>
    <mergeCell ref="A36:F36"/>
    <mergeCell ref="A35:F35"/>
    <mergeCell ref="A33:F33"/>
    <mergeCell ref="A24:F24"/>
    <mergeCell ref="A6:F6"/>
    <mergeCell ref="A7:F7"/>
    <mergeCell ref="A23:F23"/>
    <mergeCell ref="A17:F17"/>
    <mergeCell ref="A18:F18"/>
    <mergeCell ref="A10:F10"/>
    <mergeCell ref="A14:F14"/>
    <mergeCell ref="A15:F15"/>
    <mergeCell ref="A16:F16"/>
    <mergeCell ref="A11:F11"/>
    <mergeCell ref="A25:F25"/>
    <mergeCell ref="A26:F26"/>
    <mergeCell ref="A13:F13"/>
    <mergeCell ref="A20:F20"/>
    <mergeCell ref="A21:F21"/>
    <mergeCell ref="A22:F22"/>
    <mergeCell ref="A19:F19"/>
    <mergeCell ref="J2:J3"/>
    <mergeCell ref="A2:I2"/>
    <mergeCell ref="A3:I3"/>
    <mergeCell ref="A12:F12"/>
    <mergeCell ref="A9:F9"/>
    <mergeCell ref="A8:J8"/>
    <mergeCell ref="A5:J5"/>
    <mergeCell ref="I4:J4"/>
  </mergeCells>
  <phoneticPr fontId="3" type="noConversion"/>
  <conditionalFormatting sqref="I9:J41">
    <cfRule type="cellIs" dxfId="8" priority="6" stopIfTrue="1" operator="notEqual">
      <formula>ROUND(I9,2)</formula>
    </cfRule>
  </conditionalFormatting>
  <conditionalFormatting sqref="I40:J41">
    <cfRule type="cellIs" dxfId="7" priority="8" stopIfTrue="1" operator="lessThan">
      <formula>0</formula>
    </cfRule>
  </conditionalFormatting>
  <conditionalFormatting sqref="K10:K33">
    <cfRule type="cellIs" dxfId="6" priority="2" stopIfTrue="1" operator="notEqual">
      <formula>ROUND(K10,0)</formula>
    </cfRule>
    <cfRule type="cellIs" dxfId="5" priority="3" stopIfTrue="1" operator="lessThan">
      <formula>0</formula>
    </cfRule>
  </conditionalFormatting>
  <dataValidations count="3">
    <dataValidation type="whole" operator="greaterThanOrEqual" allowBlank="1" showInputMessage="1" showErrorMessage="1" errorTitle="Nedopušten upis" error="Dopušten je upis samo pozitivnih cjelobrojnih vrijednosti ili nule" sqref="K10:K33" xr:uid="{00000000-0002-0000-0600-000000000000}">
      <formula1>0</formula1>
    </dataValidation>
    <dataValidation type="decimal" operator="notEqual" allowBlank="1" showErrorMessage="1" errorTitle="Nedopušten unos" error="Dopušten je unos pozitivnih ili negativnih vrijednosti zaokruženih na 2 decimale ili nule" sqref="I9:J39" xr:uid="{00000000-0002-0000-0600-000001000000}">
      <formula1>99999999</formula1>
    </dataValidation>
    <dataValidation type="decimal" operator="greaterThanOrEqual" allowBlank="1" showErrorMessage="1" errorTitle="Nedopušten unos" error="Dopušten je unos samo pozitivnih vrijednosti zaokruženih na 2 decimale ili nule" sqref="I40:J41" xr:uid="{00000000-0002-0000-0600-000020000000}">
      <formula1>0</formula1>
    </dataValidation>
  </dataValidations>
  <hyperlinks>
    <hyperlink ref="D1" location="Bilanca!A1" tooltip="Unos podataka u Bilancu" display="Bilanca" xr:uid="{00000000-0004-0000-0600-000000000000}"/>
    <hyperlink ref="C1" location="RefStr!A1" tooltip="Unos općih podataka na Referentnu stranicu" display="RefStr" xr:uid="{00000000-0004-0000-0600-000001000000}"/>
    <hyperlink ref="B1" location="Naslovna!A1" tooltip="Naslovna strana, unos općih podataka" display="Naslovna" xr:uid="{00000000-0004-0000-0600-000002000000}"/>
    <hyperlink ref="E1" location="RDG!A1" tooltip="Unos podataka u Račun dobiti i gubitka" display="RDG" xr:uid="{00000000-0004-0000-0600-000003000000}"/>
    <hyperlink ref="F1" location="Dodatni!A1" tooltip="Unos podataka u Dodatne podatke" display="PodDop" xr:uid="{00000000-0004-0000-0600-000004000000}"/>
    <hyperlink ref="G1" location="NT_I!A1" tooltip="Unos podataka u Novčani tijek po indirektnoj metodi" display="NT_I" xr:uid="{00000000-0004-0000-0600-000005000000}"/>
    <hyperlink ref="H1" location="NT_D!A1" tooltip="Unos podataka u Novčani tijek po direktnoj metodi" display="NT_D" xr:uid="{00000000-0004-0000-0600-000006000000}"/>
    <hyperlink ref="J1" location="Kont!A1" tooltip="Provjera pogrešaka i upozorenja na radnom listu Kontrole" display="Kont" xr:uid="{00000000-0004-0000-0600-000007000000}"/>
    <hyperlink ref="I1" location="PK!A1" tooltip="Unos podataka u obrazac Promjene kapitala" display="PK" xr:uid="{00000000-0004-0000-0600-000008000000}"/>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W46"/>
  <sheetViews>
    <sheetView showGridLines="0" showRowColHeaders="0" workbookViewId="0"/>
  </sheetViews>
  <sheetFormatPr defaultColWidth="0" defaultRowHeight="11.4" zeroHeight="1" x14ac:dyDescent="0.2"/>
  <cols>
    <col min="1" max="6" width="10.44140625" style="58" customWidth="1"/>
    <col min="7" max="8" width="5.6640625" style="58" customWidth="1"/>
    <col min="9" max="10" width="14.6640625" style="58" customWidth="1"/>
    <col min="11" max="11" width="0.88671875" style="58" customWidth="1"/>
    <col min="12" max="12" width="9.109375" style="58" hidden="1" customWidth="1"/>
    <col min="13" max="13" width="11.109375" style="58" hidden="1" customWidth="1"/>
    <col min="14" max="15" width="9.5546875" style="58" hidden="1" customWidth="1"/>
    <col min="16" max="20" width="9.109375" style="58" hidden="1" customWidth="1"/>
    <col min="21" max="21" width="11.109375" style="58" hidden="1" customWidth="1"/>
    <col min="22" max="23" width="9.5546875" style="58" hidden="1" customWidth="1"/>
    <col min="24" max="16384" width="9.109375" style="58" hidden="1"/>
  </cols>
  <sheetData>
    <row r="1" spans="1:18" ht="24.9" customHeight="1" thickBot="1" x14ac:dyDescent="0.25">
      <c r="A1" s="93" t="s">
        <v>114</v>
      </c>
      <c r="B1" s="50" t="s">
        <v>115</v>
      </c>
      <c r="C1" s="50" t="s">
        <v>116</v>
      </c>
      <c r="D1" s="50" t="s">
        <v>117</v>
      </c>
      <c r="E1" s="50" t="s">
        <v>96</v>
      </c>
      <c r="F1" s="50" t="s">
        <v>118</v>
      </c>
      <c r="G1" s="50" t="s">
        <v>119</v>
      </c>
      <c r="H1" s="50" t="s">
        <v>120</v>
      </c>
      <c r="I1" s="50" t="s">
        <v>113</v>
      </c>
      <c r="J1" s="51" t="s">
        <v>121</v>
      </c>
      <c r="Q1" s="2">
        <f>IF(OR(MIN(I8:J45)&lt;0,MAX(I8:J45)&gt;0),1,0)</f>
        <v>0</v>
      </c>
      <c r="R1" s="53" t="s">
        <v>2328</v>
      </c>
    </row>
    <row r="2" spans="1:18" s="2" customFormat="1" ht="20.100000000000001" customHeight="1" x14ac:dyDescent="0.25">
      <c r="A2" s="423" t="s">
        <v>2503</v>
      </c>
      <c r="B2" s="424"/>
      <c r="C2" s="424"/>
      <c r="D2" s="424"/>
      <c r="E2" s="424"/>
      <c r="F2" s="424"/>
      <c r="G2" s="424"/>
      <c r="H2" s="424"/>
      <c r="I2" s="425"/>
      <c r="J2" s="362" t="s">
        <v>2504</v>
      </c>
      <c r="Q2" s="54">
        <f>IF(OR(MIN(I8:I45)&lt;0,MAX(I8:I45)&gt;0),1,0)</f>
        <v>0</v>
      </c>
      <c r="R2" s="53" t="s">
        <v>2331</v>
      </c>
    </row>
    <row r="3" spans="1:18" s="2" customFormat="1" ht="20.100000000000001" customHeight="1" thickBot="1" x14ac:dyDescent="0.3">
      <c r="A3" s="426" t="str">
        <f xml:space="preserve"> "u razdoblju " &amp; IF(RefStr!C4&lt;&gt;"", TEXT(RefStr!C4, "DD.MM.YYYY."), "__.__.____.") &amp; " do " &amp; IF(RefStr!F4&lt;&gt;"", TEXT(RefStr!F4, "DD.MM.YYYY."),"__.__.____.")</f>
        <v>u razdoblju __.__.____. do __.__.____.</v>
      </c>
      <c r="B3" s="427"/>
      <c r="C3" s="427"/>
      <c r="D3" s="427"/>
      <c r="E3" s="427"/>
      <c r="F3" s="427"/>
      <c r="G3" s="427"/>
      <c r="H3" s="427"/>
      <c r="I3" s="428"/>
      <c r="J3" s="413"/>
      <c r="Q3" s="54">
        <f>IF(OR(MIN(J8:J45)&lt;0,MAX(J8:J45)&gt;0),1,0)</f>
        <v>0</v>
      </c>
      <c r="R3" s="53" t="s">
        <v>2332</v>
      </c>
    </row>
    <row r="4" spans="1:18" s="2" customFormat="1" ht="15.9" customHeight="1" x14ac:dyDescent="0.25">
      <c r="A4" s="80"/>
      <c r="B4" s="81"/>
      <c r="C4" s="81"/>
      <c r="D4" s="81"/>
      <c r="E4" s="81"/>
      <c r="F4" s="81"/>
      <c r="G4" s="81"/>
      <c r="H4" s="81"/>
      <c r="I4" s="373" t="str">
        <f>IF(YEAR(RefStr!F4)&gt;2022,"Iznosi u eurima i centima", "Iznosi u kunama bez lipa")</f>
        <v>Iznosi u kunama bez lipa</v>
      </c>
      <c r="J4" s="374"/>
    </row>
    <row r="5" spans="1:18" s="2" customFormat="1" ht="20.100000000000001" customHeight="1" x14ac:dyDescent="0.25">
      <c r="A5" s="370"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371"/>
      <c r="C5" s="371"/>
      <c r="D5" s="371"/>
      <c r="E5" s="371"/>
      <c r="F5" s="371"/>
      <c r="G5" s="371"/>
      <c r="H5" s="371"/>
      <c r="I5" s="371"/>
      <c r="J5" s="372"/>
    </row>
    <row r="6" spans="1:18" s="2" customFormat="1" ht="24.75" customHeight="1" thickBot="1" x14ac:dyDescent="0.3">
      <c r="A6" s="434" t="s">
        <v>2334</v>
      </c>
      <c r="B6" s="435"/>
      <c r="C6" s="435"/>
      <c r="D6" s="435"/>
      <c r="E6" s="435"/>
      <c r="F6" s="435"/>
      <c r="G6" s="61" t="s">
        <v>2335</v>
      </c>
      <c r="H6" s="63" t="s">
        <v>2336</v>
      </c>
      <c r="I6" s="61" t="s">
        <v>2407</v>
      </c>
      <c r="J6" s="62" t="s">
        <v>2408</v>
      </c>
    </row>
    <row r="7" spans="1:18" s="2" customFormat="1" ht="14.1" customHeight="1" x14ac:dyDescent="0.25">
      <c r="A7" s="436">
        <v>1</v>
      </c>
      <c r="B7" s="437"/>
      <c r="C7" s="437"/>
      <c r="D7" s="437"/>
      <c r="E7" s="437"/>
      <c r="F7" s="437"/>
      <c r="G7" s="76">
        <v>2</v>
      </c>
      <c r="H7" s="77">
        <v>3</v>
      </c>
      <c r="I7" s="78">
        <v>4</v>
      </c>
      <c r="J7" s="79">
        <v>5</v>
      </c>
    </row>
    <row r="8" spans="1:18" s="2" customFormat="1" ht="15" customHeight="1" x14ac:dyDescent="0.25">
      <c r="A8" s="438"/>
      <c r="B8" s="439"/>
      <c r="C8" s="439"/>
      <c r="D8" s="439"/>
      <c r="E8" s="439"/>
      <c r="F8" s="439"/>
      <c r="G8" s="439"/>
      <c r="H8" s="439"/>
      <c r="I8" s="439"/>
      <c r="J8" s="439"/>
    </row>
    <row r="9" spans="1:18" s="2" customFormat="1" ht="15" customHeight="1" x14ac:dyDescent="0.25">
      <c r="A9" s="390" t="s">
        <v>2505</v>
      </c>
      <c r="B9" s="390"/>
      <c r="C9" s="390"/>
      <c r="D9" s="390"/>
      <c r="E9" s="390"/>
      <c r="F9" s="390"/>
      <c r="G9" s="215">
        <v>1</v>
      </c>
      <c r="H9" s="196"/>
      <c r="I9" s="207">
        <f>ROUND(SUM(I10:I35),2)</f>
        <v>0</v>
      </c>
      <c r="J9" s="207">
        <f>ROUND(SUM(J10:J35),2)</f>
        <v>0</v>
      </c>
      <c r="L9" s="2" t="s">
        <v>2387</v>
      </c>
    </row>
    <row r="10" spans="1:18" s="2" customFormat="1" ht="15" customHeight="1" x14ac:dyDescent="0.25">
      <c r="A10" s="389" t="s">
        <v>2506</v>
      </c>
      <c r="B10" s="389"/>
      <c r="C10" s="389"/>
      <c r="D10" s="389"/>
      <c r="E10" s="389"/>
      <c r="F10" s="389"/>
      <c r="G10" s="215">
        <v>2</v>
      </c>
      <c r="H10" s="195"/>
      <c r="I10" s="204"/>
      <c r="J10" s="204"/>
      <c r="L10" s="2" t="s">
        <v>2387</v>
      </c>
    </row>
    <row r="11" spans="1:18" s="2" customFormat="1" ht="15" customHeight="1" x14ac:dyDescent="0.25">
      <c r="A11" s="389" t="s">
        <v>2507</v>
      </c>
      <c r="B11" s="389"/>
      <c r="C11" s="389"/>
      <c r="D11" s="389"/>
      <c r="E11" s="389"/>
      <c r="F11" s="389"/>
      <c r="G11" s="215">
        <v>3</v>
      </c>
      <c r="H11" s="195"/>
      <c r="I11" s="204"/>
      <c r="J11" s="204"/>
      <c r="L11" s="2" t="s">
        <v>2387</v>
      </c>
    </row>
    <row r="12" spans="1:18" s="2" customFormat="1" ht="15" customHeight="1" x14ac:dyDescent="0.25">
      <c r="A12" s="389" t="s">
        <v>2508</v>
      </c>
      <c r="B12" s="389"/>
      <c r="C12" s="389"/>
      <c r="D12" s="389"/>
      <c r="E12" s="389"/>
      <c r="F12" s="389"/>
      <c r="G12" s="215">
        <v>4</v>
      </c>
      <c r="H12" s="195"/>
      <c r="I12" s="204"/>
      <c r="J12" s="204"/>
      <c r="L12" s="2" t="s">
        <v>2387</v>
      </c>
    </row>
    <row r="13" spans="1:18" s="2" customFormat="1" ht="15" customHeight="1" x14ac:dyDescent="0.25">
      <c r="A13" s="389" t="s">
        <v>2509</v>
      </c>
      <c r="B13" s="389"/>
      <c r="C13" s="389"/>
      <c r="D13" s="389"/>
      <c r="E13" s="389"/>
      <c r="F13" s="389"/>
      <c r="G13" s="215">
        <v>5</v>
      </c>
      <c r="H13" s="195"/>
      <c r="I13" s="204"/>
      <c r="J13" s="204"/>
      <c r="L13" s="2" t="s">
        <v>2387</v>
      </c>
    </row>
    <row r="14" spans="1:18" s="2" customFormat="1" ht="15" customHeight="1" x14ac:dyDescent="0.25">
      <c r="A14" s="389" t="s">
        <v>2510</v>
      </c>
      <c r="B14" s="389"/>
      <c r="C14" s="389"/>
      <c r="D14" s="389"/>
      <c r="E14" s="389"/>
      <c r="F14" s="389"/>
      <c r="G14" s="215">
        <v>6</v>
      </c>
      <c r="H14" s="195"/>
      <c r="I14" s="204"/>
      <c r="J14" s="204"/>
      <c r="L14" s="2" t="s">
        <v>2387</v>
      </c>
    </row>
    <row r="15" spans="1:18" s="2" customFormat="1" ht="15" customHeight="1" x14ac:dyDescent="0.25">
      <c r="A15" s="389" t="s">
        <v>2511</v>
      </c>
      <c r="B15" s="389"/>
      <c r="C15" s="389"/>
      <c r="D15" s="389"/>
      <c r="E15" s="389"/>
      <c r="F15" s="389"/>
      <c r="G15" s="215">
        <v>7</v>
      </c>
      <c r="H15" s="195"/>
      <c r="I15" s="204"/>
      <c r="J15" s="204"/>
      <c r="L15" s="2" t="s">
        <v>2387</v>
      </c>
    </row>
    <row r="16" spans="1:18" s="2" customFormat="1" ht="15" customHeight="1" x14ac:dyDescent="0.25">
      <c r="A16" s="389" t="s">
        <v>2512</v>
      </c>
      <c r="B16" s="389"/>
      <c r="C16" s="389"/>
      <c r="D16" s="389"/>
      <c r="E16" s="389"/>
      <c r="F16" s="389"/>
      <c r="G16" s="215">
        <v>8</v>
      </c>
      <c r="H16" s="195"/>
      <c r="I16" s="204"/>
      <c r="J16" s="204"/>
      <c r="L16" s="2" t="s">
        <v>2387</v>
      </c>
    </row>
    <row r="17" spans="1:12" s="2" customFormat="1" ht="15" customHeight="1" x14ac:dyDescent="0.25">
      <c r="A17" s="389" t="s">
        <v>2513</v>
      </c>
      <c r="B17" s="389"/>
      <c r="C17" s="389"/>
      <c r="D17" s="389"/>
      <c r="E17" s="389"/>
      <c r="F17" s="389"/>
      <c r="G17" s="215">
        <v>9</v>
      </c>
      <c r="H17" s="195"/>
      <c r="I17" s="204"/>
      <c r="J17" s="204"/>
      <c r="L17" s="2" t="s">
        <v>2387</v>
      </c>
    </row>
    <row r="18" spans="1:12" s="2" customFormat="1" ht="15" customHeight="1" x14ac:dyDescent="0.25">
      <c r="A18" s="389" t="s">
        <v>2514</v>
      </c>
      <c r="B18" s="389"/>
      <c r="C18" s="389"/>
      <c r="D18" s="389"/>
      <c r="E18" s="389"/>
      <c r="F18" s="389"/>
      <c r="G18" s="215">
        <v>10</v>
      </c>
      <c r="H18" s="195"/>
      <c r="I18" s="204"/>
      <c r="J18" s="204"/>
      <c r="L18" s="2" t="s">
        <v>2387</v>
      </c>
    </row>
    <row r="19" spans="1:12" s="2" customFormat="1" ht="15" customHeight="1" x14ac:dyDescent="0.25">
      <c r="A19" s="389" t="s">
        <v>2515</v>
      </c>
      <c r="B19" s="389"/>
      <c r="C19" s="389"/>
      <c r="D19" s="389"/>
      <c r="E19" s="389"/>
      <c r="F19" s="389"/>
      <c r="G19" s="215">
        <v>11</v>
      </c>
      <c r="H19" s="195"/>
      <c r="I19" s="204"/>
      <c r="J19" s="204"/>
      <c r="L19" s="2" t="s">
        <v>2387</v>
      </c>
    </row>
    <row r="20" spans="1:12" s="2" customFormat="1" ht="15" customHeight="1" x14ac:dyDescent="0.25">
      <c r="A20" s="389" t="s">
        <v>2516</v>
      </c>
      <c r="B20" s="389"/>
      <c r="C20" s="389"/>
      <c r="D20" s="389"/>
      <c r="E20" s="389"/>
      <c r="F20" s="389"/>
      <c r="G20" s="215">
        <v>12</v>
      </c>
      <c r="H20" s="195"/>
      <c r="I20" s="204"/>
      <c r="J20" s="204"/>
      <c r="L20" s="2" t="s">
        <v>2387</v>
      </c>
    </row>
    <row r="21" spans="1:12" s="2" customFormat="1" ht="15" customHeight="1" x14ac:dyDescent="0.25">
      <c r="A21" s="389" t="s">
        <v>2517</v>
      </c>
      <c r="B21" s="389"/>
      <c r="C21" s="389"/>
      <c r="D21" s="389"/>
      <c r="E21" s="389"/>
      <c r="F21" s="389"/>
      <c r="G21" s="215">
        <v>13</v>
      </c>
      <c r="H21" s="195"/>
      <c r="I21" s="204"/>
      <c r="J21" s="204"/>
      <c r="L21" s="2" t="s">
        <v>2387</v>
      </c>
    </row>
    <row r="22" spans="1:12" s="2" customFormat="1" ht="15" customHeight="1" x14ac:dyDescent="0.25">
      <c r="A22" s="389" t="s">
        <v>2518</v>
      </c>
      <c r="B22" s="389"/>
      <c r="C22" s="389"/>
      <c r="D22" s="389"/>
      <c r="E22" s="389"/>
      <c r="F22" s="389"/>
      <c r="G22" s="215">
        <v>14</v>
      </c>
      <c r="H22" s="195"/>
      <c r="I22" s="204"/>
      <c r="J22" s="204"/>
      <c r="L22" s="2" t="s">
        <v>2387</v>
      </c>
    </row>
    <row r="23" spans="1:12" s="2" customFormat="1" ht="15" customHeight="1" x14ac:dyDescent="0.25">
      <c r="A23" s="389" t="s">
        <v>2519</v>
      </c>
      <c r="B23" s="389"/>
      <c r="C23" s="389"/>
      <c r="D23" s="389"/>
      <c r="E23" s="389"/>
      <c r="F23" s="389"/>
      <c r="G23" s="215">
        <v>15</v>
      </c>
      <c r="H23" s="195"/>
      <c r="I23" s="204"/>
      <c r="J23" s="204"/>
      <c r="L23" s="2" t="s">
        <v>2387</v>
      </c>
    </row>
    <row r="24" spans="1:12" s="2" customFormat="1" ht="15" customHeight="1" x14ac:dyDescent="0.25">
      <c r="A24" s="389" t="s">
        <v>2520</v>
      </c>
      <c r="B24" s="389"/>
      <c r="C24" s="389"/>
      <c r="D24" s="389"/>
      <c r="E24" s="389"/>
      <c r="F24" s="389"/>
      <c r="G24" s="215">
        <v>16</v>
      </c>
      <c r="H24" s="195"/>
      <c r="I24" s="204"/>
      <c r="J24" s="204"/>
      <c r="L24" s="2" t="s">
        <v>2387</v>
      </c>
    </row>
    <row r="25" spans="1:12" s="2" customFormat="1" ht="15" customHeight="1" x14ac:dyDescent="0.25">
      <c r="A25" s="389" t="s">
        <v>2521</v>
      </c>
      <c r="B25" s="389"/>
      <c r="C25" s="389"/>
      <c r="D25" s="389"/>
      <c r="E25" s="389"/>
      <c r="F25" s="389"/>
      <c r="G25" s="215">
        <v>17</v>
      </c>
      <c r="H25" s="195"/>
      <c r="I25" s="204"/>
      <c r="J25" s="204"/>
      <c r="L25" s="2" t="s">
        <v>2387</v>
      </c>
    </row>
    <row r="26" spans="1:12" s="2" customFormat="1" ht="15" customHeight="1" x14ac:dyDescent="0.25">
      <c r="A26" s="389" t="s">
        <v>2487</v>
      </c>
      <c r="B26" s="389"/>
      <c r="C26" s="389"/>
      <c r="D26" s="389"/>
      <c r="E26" s="389"/>
      <c r="F26" s="389"/>
      <c r="G26" s="215">
        <v>18</v>
      </c>
      <c r="H26" s="195"/>
      <c r="I26" s="204"/>
      <c r="J26" s="204"/>
      <c r="L26" s="2" t="s">
        <v>2387</v>
      </c>
    </row>
    <row r="27" spans="1:12" s="2" customFormat="1" ht="15" customHeight="1" x14ac:dyDescent="0.25">
      <c r="A27" s="389" t="s">
        <v>2485</v>
      </c>
      <c r="B27" s="389"/>
      <c r="C27" s="389"/>
      <c r="D27" s="389"/>
      <c r="E27" s="389"/>
      <c r="F27" s="389"/>
      <c r="G27" s="215">
        <v>19</v>
      </c>
      <c r="H27" s="195"/>
      <c r="I27" s="204"/>
      <c r="J27" s="204"/>
      <c r="L27" s="2" t="s">
        <v>2387</v>
      </c>
    </row>
    <row r="28" spans="1:12" s="2" customFormat="1" ht="15" customHeight="1" x14ac:dyDescent="0.25">
      <c r="A28" s="389" t="s">
        <v>2522</v>
      </c>
      <c r="B28" s="389"/>
      <c r="C28" s="389"/>
      <c r="D28" s="389"/>
      <c r="E28" s="389"/>
      <c r="F28" s="389"/>
      <c r="G28" s="215">
        <v>20</v>
      </c>
      <c r="H28" s="195"/>
      <c r="I28" s="204"/>
      <c r="J28" s="204"/>
      <c r="L28" s="2" t="s">
        <v>2387</v>
      </c>
    </row>
    <row r="29" spans="1:12" s="2" customFormat="1" ht="24.9" customHeight="1" x14ac:dyDescent="0.25">
      <c r="A29" s="389" t="s">
        <v>2523</v>
      </c>
      <c r="B29" s="389"/>
      <c r="C29" s="389"/>
      <c r="D29" s="389"/>
      <c r="E29" s="389"/>
      <c r="F29" s="389"/>
      <c r="G29" s="215">
        <v>21</v>
      </c>
      <c r="H29" s="195"/>
      <c r="I29" s="204"/>
      <c r="J29" s="204"/>
      <c r="L29" s="2" t="s">
        <v>2387</v>
      </c>
    </row>
    <row r="30" spans="1:12" s="2" customFormat="1" ht="24.9" customHeight="1" x14ac:dyDescent="0.25">
      <c r="A30" s="389" t="s">
        <v>2524</v>
      </c>
      <c r="B30" s="389"/>
      <c r="C30" s="389"/>
      <c r="D30" s="389"/>
      <c r="E30" s="389"/>
      <c r="F30" s="389"/>
      <c r="G30" s="215">
        <v>22</v>
      </c>
      <c r="H30" s="195"/>
      <c r="I30" s="204"/>
      <c r="J30" s="204"/>
      <c r="L30" s="2" t="s">
        <v>2387</v>
      </c>
    </row>
    <row r="31" spans="1:12" s="2" customFormat="1" ht="15" customHeight="1" x14ac:dyDescent="0.25">
      <c r="A31" s="389" t="s">
        <v>2525</v>
      </c>
      <c r="B31" s="389"/>
      <c r="C31" s="389"/>
      <c r="D31" s="389"/>
      <c r="E31" s="389"/>
      <c r="F31" s="389"/>
      <c r="G31" s="215">
        <v>23</v>
      </c>
      <c r="H31" s="195"/>
      <c r="I31" s="204"/>
      <c r="J31" s="204"/>
      <c r="L31" s="2" t="s">
        <v>2387</v>
      </c>
    </row>
    <row r="32" spans="1:12" s="2" customFormat="1" ht="15" customHeight="1" x14ac:dyDescent="0.25">
      <c r="A32" s="389" t="s">
        <v>2526</v>
      </c>
      <c r="B32" s="389"/>
      <c r="C32" s="389"/>
      <c r="D32" s="389"/>
      <c r="E32" s="389"/>
      <c r="F32" s="389"/>
      <c r="G32" s="215">
        <v>24</v>
      </c>
      <c r="H32" s="195"/>
      <c r="I32" s="204"/>
      <c r="J32" s="204"/>
      <c r="L32" s="2" t="s">
        <v>2387</v>
      </c>
    </row>
    <row r="33" spans="1:12" s="2" customFormat="1" ht="15" customHeight="1" x14ac:dyDescent="0.25">
      <c r="A33" s="389" t="s">
        <v>2527</v>
      </c>
      <c r="B33" s="389"/>
      <c r="C33" s="389"/>
      <c r="D33" s="389"/>
      <c r="E33" s="389"/>
      <c r="F33" s="389"/>
      <c r="G33" s="215">
        <v>25</v>
      </c>
      <c r="H33" s="195"/>
      <c r="I33" s="204"/>
      <c r="J33" s="204"/>
      <c r="L33" s="2" t="s">
        <v>2387</v>
      </c>
    </row>
    <row r="34" spans="1:12" s="2" customFormat="1" ht="15" customHeight="1" x14ac:dyDescent="0.25">
      <c r="A34" s="389" t="s">
        <v>2528</v>
      </c>
      <c r="B34" s="389"/>
      <c r="C34" s="389"/>
      <c r="D34" s="389"/>
      <c r="E34" s="389"/>
      <c r="F34" s="389"/>
      <c r="G34" s="215">
        <v>26</v>
      </c>
      <c r="H34" s="195"/>
      <c r="I34" s="204"/>
      <c r="J34" s="204"/>
      <c r="L34" s="2" t="s">
        <v>2387</v>
      </c>
    </row>
    <row r="35" spans="1:12" s="2" customFormat="1" ht="15" customHeight="1" x14ac:dyDescent="0.25">
      <c r="A35" s="389" t="s">
        <v>2529</v>
      </c>
      <c r="B35" s="389"/>
      <c r="C35" s="389"/>
      <c r="D35" s="389"/>
      <c r="E35" s="389"/>
      <c r="F35" s="389"/>
      <c r="G35" s="215">
        <v>27</v>
      </c>
      <c r="H35" s="195"/>
      <c r="I35" s="204"/>
      <c r="J35" s="204"/>
      <c r="L35" s="2" t="s">
        <v>2387</v>
      </c>
    </row>
    <row r="36" spans="1:12" s="2" customFormat="1" ht="15" customHeight="1" x14ac:dyDescent="0.25">
      <c r="A36" s="390" t="s">
        <v>2530</v>
      </c>
      <c r="B36" s="390"/>
      <c r="C36" s="390"/>
      <c r="D36" s="390"/>
      <c r="E36" s="390"/>
      <c r="F36" s="390"/>
      <c r="G36" s="215">
        <v>28</v>
      </c>
      <c r="H36" s="196"/>
      <c r="I36" s="207">
        <f>ROUND(SUM(I37:I41),2)</f>
        <v>0</v>
      </c>
      <c r="J36" s="207">
        <f>ROUND(SUM(J37:J41),2)</f>
        <v>0</v>
      </c>
      <c r="L36" s="2" t="s">
        <v>2387</v>
      </c>
    </row>
    <row r="37" spans="1:12" s="2" customFormat="1" ht="15" customHeight="1" x14ac:dyDescent="0.25">
      <c r="A37" s="389" t="s">
        <v>2495</v>
      </c>
      <c r="B37" s="389"/>
      <c r="C37" s="389"/>
      <c r="D37" s="389"/>
      <c r="E37" s="389"/>
      <c r="F37" s="389"/>
      <c r="G37" s="215">
        <v>29</v>
      </c>
      <c r="H37" s="195"/>
      <c r="I37" s="204"/>
      <c r="J37" s="204"/>
      <c r="L37" s="2" t="s">
        <v>2387</v>
      </c>
    </row>
    <row r="38" spans="1:12" s="2" customFormat="1" ht="15" customHeight="1" x14ac:dyDescent="0.25">
      <c r="A38" s="389" t="s">
        <v>2496</v>
      </c>
      <c r="B38" s="389"/>
      <c r="C38" s="389"/>
      <c r="D38" s="389"/>
      <c r="E38" s="389"/>
      <c r="F38" s="389"/>
      <c r="G38" s="215">
        <v>30</v>
      </c>
      <c r="H38" s="195"/>
      <c r="I38" s="204"/>
      <c r="J38" s="204"/>
      <c r="L38" s="2" t="s">
        <v>2387</v>
      </c>
    </row>
    <row r="39" spans="1:12" s="2" customFormat="1" ht="15" customHeight="1" x14ac:dyDescent="0.25">
      <c r="A39" s="389" t="s">
        <v>2497</v>
      </c>
      <c r="B39" s="389"/>
      <c r="C39" s="389"/>
      <c r="D39" s="389"/>
      <c r="E39" s="389"/>
      <c r="F39" s="389"/>
      <c r="G39" s="215">
        <v>31</v>
      </c>
      <c r="H39" s="195"/>
      <c r="I39" s="204"/>
      <c r="J39" s="204"/>
      <c r="L39" s="2" t="s">
        <v>2387</v>
      </c>
    </row>
    <row r="40" spans="1:12" s="2" customFormat="1" ht="15" customHeight="1" x14ac:dyDescent="0.25">
      <c r="A40" s="389" t="s">
        <v>2498</v>
      </c>
      <c r="B40" s="389"/>
      <c r="C40" s="389"/>
      <c r="D40" s="389"/>
      <c r="E40" s="389"/>
      <c r="F40" s="389"/>
      <c r="G40" s="215">
        <v>32</v>
      </c>
      <c r="H40" s="195"/>
      <c r="I40" s="204"/>
      <c r="J40" s="204"/>
      <c r="L40" s="2" t="s">
        <v>2387</v>
      </c>
    </row>
    <row r="41" spans="1:12" s="2" customFormat="1" ht="15" customHeight="1" x14ac:dyDescent="0.25">
      <c r="A41" s="389" t="s">
        <v>2499</v>
      </c>
      <c r="B41" s="389"/>
      <c r="C41" s="389"/>
      <c r="D41" s="389"/>
      <c r="E41" s="389"/>
      <c r="F41" s="389"/>
      <c r="G41" s="215">
        <v>33</v>
      </c>
      <c r="H41" s="195"/>
      <c r="I41" s="204"/>
      <c r="J41" s="204"/>
      <c r="L41" s="2" t="s">
        <v>2387</v>
      </c>
    </row>
    <row r="42" spans="1:12" s="2" customFormat="1" ht="15" customHeight="1" x14ac:dyDescent="0.25">
      <c r="A42" s="390" t="s">
        <v>2531</v>
      </c>
      <c r="B42" s="390"/>
      <c r="C42" s="390"/>
      <c r="D42" s="390"/>
      <c r="E42" s="390"/>
      <c r="F42" s="390"/>
      <c r="G42" s="215">
        <v>34</v>
      </c>
      <c r="H42" s="195"/>
      <c r="I42" s="204"/>
      <c r="J42" s="204"/>
      <c r="L42" s="2" t="s">
        <v>2387</v>
      </c>
    </row>
    <row r="43" spans="1:12" s="2" customFormat="1" ht="15" customHeight="1" x14ac:dyDescent="0.25">
      <c r="A43" s="390" t="s">
        <v>2532</v>
      </c>
      <c r="B43" s="390"/>
      <c r="C43" s="390"/>
      <c r="D43" s="390"/>
      <c r="E43" s="390"/>
      <c r="F43" s="390"/>
      <c r="G43" s="215">
        <v>35</v>
      </c>
      <c r="H43" s="195"/>
      <c r="I43" s="207">
        <f>ROUND(I9+I36+I42,2)</f>
        <v>0</v>
      </c>
      <c r="J43" s="207">
        <f>ROUND(J9+J36+J42,2)</f>
        <v>0</v>
      </c>
      <c r="L43" s="2" t="s">
        <v>2387</v>
      </c>
    </row>
    <row r="44" spans="1:12" s="2" customFormat="1" ht="15" customHeight="1" x14ac:dyDescent="0.25">
      <c r="A44" s="390" t="s">
        <v>2501</v>
      </c>
      <c r="B44" s="390"/>
      <c r="C44" s="390"/>
      <c r="D44" s="390"/>
      <c r="E44" s="390"/>
      <c r="F44" s="390"/>
      <c r="G44" s="189">
        <v>36</v>
      </c>
      <c r="H44" s="195"/>
      <c r="I44" s="204"/>
      <c r="J44" s="204"/>
      <c r="L44" s="2" t="s">
        <v>2342</v>
      </c>
    </row>
    <row r="45" spans="1:12" s="2" customFormat="1" ht="15" customHeight="1" x14ac:dyDescent="0.25">
      <c r="A45" s="411" t="s">
        <v>2533</v>
      </c>
      <c r="B45" s="411"/>
      <c r="C45" s="411"/>
      <c r="D45" s="411"/>
      <c r="E45" s="411"/>
      <c r="F45" s="411"/>
      <c r="G45" s="190">
        <v>37</v>
      </c>
      <c r="H45" s="197"/>
      <c r="I45" s="208">
        <f>ROUND(SUM(I43:I44),2)</f>
        <v>0</v>
      </c>
      <c r="J45" s="208">
        <f>ROUND(SUM(J43:J44),2)</f>
        <v>0</v>
      </c>
      <c r="L45" s="2" t="s">
        <v>2342</v>
      </c>
    </row>
    <row r="46" spans="1:12" ht="5.0999999999999996" customHeight="1" x14ac:dyDescent="0.2"/>
  </sheetData>
  <sheetProtection password="C79A" sheet="1" objects="1" scenarios="1"/>
  <mergeCells count="45">
    <mergeCell ref="A10:F10"/>
    <mergeCell ref="A18:F18"/>
    <mergeCell ref="A16:F16"/>
    <mergeCell ref="A11:F11"/>
    <mergeCell ref="A12:F12"/>
    <mergeCell ref="A17:F17"/>
    <mergeCell ref="A9:F9"/>
    <mergeCell ref="A2:I2"/>
    <mergeCell ref="J2:J3"/>
    <mergeCell ref="A3:I3"/>
    <mergeCell ref="A5:J5"/>
    <mergeCell ref="I4:J4"/>
    <mergeCell ref="A8:J8"/>
    <mergeCell ref="A6:F6"/>
    <mergeCell ref="A7:F7"/>
    <mergeCell ref="A30:F30"/>
    <mergeCell ref="A15:F15"/>
    <mergeCell ref="A13:F13"/>
    <mergeCell ref="A14:F14"/>
    <mergeCell ref="A25:F25"/>
    <mergeCell ref="A23:F23"/>
    <mergeCell ref="A24:F24"/>
    <mergeCell ref="A20:F20"/>
    <mergeCell ref="A21:F21"/>
    <mergeCell ref="A28:F28"/>
    <mergeCell ref="A29:F29"/>
    <mergeCell ref="A26:F26"/>
    <mergeCell ref="A27:F27"/>
    <mergeCell ref="A22:F22"/>
    <mergeCell ref="A19:F19"/>
    <mergeCell ref="A31:F31"/>
    <mergeCell ref="A38:F38"/>
    <mergeCell ref="A35:F35"/>
    <mergeCell ref="A36:F36"/>
    <mergeCell ref="A32:F32"/>
    <mergeCell ref="A33:F33"/>
    <mergeCell ref="A40:F40"/>
    <mergeCell ref="A39:F39"/>
    <mergeCell ref="A37:F37"/>
    <mergeCell ref="A34:F34"/>
    <mergeCell ref="A45:F45"/>
    <mergeCell ref="A42:F42"/>
    <mergeCell ref="A43:F43"/>
    <mergeCell ref="A41:F41"/>
    <mergeCell ref="A44:F44"/>
  </mergeCells>
  <phoneticPr fontId="3" type="noConversion"/>
  <conditionalFormatting sqref="I9:J45">
    <cfRule type="cellIs" dxfId="4" priority="1" stopIfTrue="1" operator="notEqual">
      <formula>ROUND(I9,2)</formula>
    </cfRule>
  </conditionalFormatting>
  <conditionalFormatting sqref="I44:J45">
    <cfRule type="cellIs" dxfId="3" priority="3" stopIfTrue="1" operator="lessThan">
      <formula>0</formula>
    </cfRule>
  </conditionalFormatting>
  <dataValidations count="2">
    <dataValidation type="decimal" operator="notEqual" allowBlank="1" showErrorMessage="1" errorTitle="Nedopušten unos" error="Dopušten je unos pozitivnih ili negativnih vrijednosti zaokruženih na 2 decimale ili nule" sqref="I9:J43" xr:uid="{00000000-0002-0000-0700-000000000000}">
      <formula1>99999999</formula1>
    </dataValidation>
    <dataValidation type="decimal" operator="greaterThanOrEqual" allowBlank="1" showErrorMessage="1" errorTitle="Nedopušten unos" error="Dopušten je unos samo pozitivnih vrijednosti zaokruženih na 2 decimale ili nule" sqref="I44:J45" xr:uid="{00000000-0002-0000-0700-000023000000}">
      <formula1>0</formula1>
    </dataValidation>
  </dataValidations>
  <hyperlinks>
    <hyperlink ref="D1" location="Bilanca!A1" tooltip="Unos podataka u Bilancu" display="Bilanca" xr:uid="{00000000-0004-0000-0700-000000000000}"/>
    <hyperlink ref="C1" location="RefStr!A1" tooltip="Unos općih podataka na Referentnu stranicu" display="RefStr" xr:uid="{00000000-0004-0000-0700-000001000000}"/>
    <hyperlink ref="B1" location="Naslovna!A1" tooltip="Naslovna strana, unos općih podataka" display="Naslovna" xr:uid="{00000000-0004-0000-0700-000002000000}"/>
    <hyperlink ref="E1" location="RDG!A1" tooltip="Unos podataka u Račun dobiti i gubitka" display="RDG" xr:uid="{00000000-0004-0000-0700-000003000000}"/>
    <hyperlink ref="F1" location="Dodatni!A1" tooltip="Unos podataka u Dodatne podatke" display="PodDop" xr:uid="{00000000-0004-0000-0700-000004000000}"/>
    <hyperlink ref="G1" location="NT_I!A1" tooltip="Unos podataka u Novčani tijek po indirektnoj metodi" display="NT_I" xr:uid="{00000000-0004-0000-0700-000005000000}"/>
    <hyperlink ref="H1" location="NT_D!A1" tooltip="Unos podataka u Novčani tijek po direktnoj metodi" display="NT_D" xr:uid="{00000000-0004-0000-0700-000006000000}"/>
    <hyperlink ref="J1" location="Kont!A1" tooltip="Provjera pogrešaka i upozorenja na radnom listu Kontrole" display="Kont" xr:uid="{00000000-0004-0000-0700-000007000000}"/>
    <hyperlink ref="I1" location="PK!A1" tooltip="Unos podataka u obrazac Promjene kapitala" display="PK" xr:uid="{00000000-0004-0000-0700-000008000000}"/>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A1:X66"/>
  <sheetViews>
    <sheetView showGridLines="0" showRowColHeaders="0" workbookViewId="0"/>
  </sheetViews>
  <sheetFormatPr defaultColWidth="0" defaultRowHeight="10.199999999999999" zeroHeight="1" x14ac:dyDescent="0.2"/>
  <cols>
    <col min="1" max="6" width="7.6640625" style="87" customWidth="1"/>
    <col min="7" max="7" width="5.5546875" style="87" customWidth="1"/>
    <col min="8" max="8" width="5.6640625" style="87" customWidth="1"/>
    <col min="9" max="17" width="13.6640625" style="87" customWidth="1"/>
    <col min="18" max="18" width="0.88671875" style="87" customWidth="1"/>
    <col min="19" max="21" width="5.6640625" style="87" hidden="1" customWidth="1"/>
    <col min="22" max="16384" width="9.109375" style="87" hidden="1"/>
  </cols>
  <sheetData>
    <row r="1" spans="1:24" ht="24.9" customHeight="1" thickBot="1" x14ac:dyDescent="0.25">
      <c r="A1" s="93" t="s">
        <v>114</v>
      </c>
      <c r="B1" s="50" t="s">
        <v>115</v>
      </c>
      <c r="C1" s="50" t="s">
        <v>116</v>
      </c>
      <c r="D1" s="50" t="s">
        <v>117</v>
      </c>
      <c r="E1" s="50" t="s">
        <v>96</v>
      </c>
      <c r="F1" s="50" t="s">
        <v>118</v>
      </c>
      <c r="G1" s="50" t="s">
        <v>119</v>
      </c>
      <c r="H1" s="50" t="s">
        <v>120</v>
      </c>
      <c r="I1" s="50" t="s">
        <v>113</v>
      </c>
      <c r="J1" s="51" t="s">
        <v>121</v>
      </c>
      <c r="T1" s="87">
        <f>MAX(T2:T3)</f>
        <v>0</v>
      </c>
      <c r="U1" s="87" t="s">
        <v>2328</v>
      </c>
    </row>
    <row r="2" spans="1:24" s="3" customFormat="1" ht="20.100000000000001" customHeight="1" x14ac:dyDescent="0.3">
      <c r="A2" s="447" t="s">
        <v>211</v>
      </c>
      <c r="B2" s="447"/>
      <c r="C2" s="447"/>
      <c r="D2" s="447"/>
      <c r="E2" s="447"/>
      <c r="F2" s="447"/>
      <c r="G2" s="448"/>
      <c r="H2" s="448"/>
      <c r="I2" s="88"/>
      <c r="J2" s="88"/>
      <c r="K2" s="88"/>
      <c r="L2" s="88"/>
      <c r="M2" s="88"/>
      <c r="N2" s="88"/>
      <c r="O2" s="88"/>
      <c r="Q2" s="362" t="s">
        <v>2534</v>
      </c>
      <c r="T2" s="3">
        <f>IF(OR(MAX(H9:Q26)&lt;&gt;0,MIN(H9:Q26)&lt;&gt;0),1,0)</f>
        <v>0</v>
      </c>
      <c r="U2" s="3" t="s">
        <v>2535</v>
      </c>
    </row>
    <row r="3" spans="1:24" s="3" customFormat="1" ht="20.100000000000001" customHeight="1" thickBot="1" x14ac:dyDescent="0.25">
      <c r="A3" s="449" t="str">
        <f xml:space="preserve"> "za razdoblje od " &amp; IF(RefStr!C4&lt;&gt;"", TEXT(RefStr!C4, "DD.MM.YYYY."), "__.__.____.") &amp; " do " &amp; IF(RefStr!F4&lt;&gt;"", TEXT(RefStr!F4, "DD.MM.YYYY."),"__.__.____.")</f>
        <v>za razdoblje od __.__.____. do __.__.____.</v>
      </c>
      <c r="B3" s="449"/>
      <c r="C3" s="449"/>
      <c r="D3" s="449"/>
      <c r="E3" s="449"/>
      <c r="F3" s="449"/>
      <c r="G3" s="450"/>
      <c r="H3" s="450"/>
      <c r="I3" s="88"/>
      <c r="J3" s="88"/>
      <c r="K3" s="88"/>
      <c r="L3" s="88"/>
      <c r="M3" s="88"/>
      <c r="N3" s="88"/>
      <c r="O3" s="88"/>
      <c r="Q3" s="413"/>
      <c r="T3" s="3">
        <f>IF(OR(MAX(I28:Q45)&lt;&gt;0,MIN(I28:Q45)&lt;&gt;0),1,0)</f>
        <v>0</v>
      </c>
      <c r="U3" s="14" t="s">
        <v>2536</v>
      </c>
    </row>
    <row r="4" spans="1:24" s="3" customFormat="1" ht="15.9" customHeight="1" x14ac:dyDescent="0.25">
      <c r="A4" s="82"/>
      <c r="B4" s="83"/>
      <c r="C4" s="83"/>
      <c r="D4" s="83"/>
      <c r="E4" s="83"/>
      <c r="F4" s="83"/>
      <c r="G4" s="84"/>
      <c r="H4" s="84"/>
      <c r="I4" s="89"/>
      <c r="P4" s="373" t="str">
        <f>IF(YEAR(RefStr!F4)&gt;2022,"Iznosi u eurima i centima", "Iznosi u kunama bez lipa")</f>
        <v>Iznosi u kunama bez lipa</v>
      </c>
      <c r="Q4" s="374"/>
    </row>
    <row r="5" spans="1:24" s="3" customFormat="1" ht="20.100000000000001" customHeight="1" thickBot="1" x14ac:dyDescent="0.3">
      <c r="A5" s="456" t="str">
        <f>"Obveznik: " &amp; IF(RefStr!C27&lt;&gt;"",RefStr!C27,"________") &amp; ";   " &amp; IF(RefStr!C29&lt;&gt;"",RefStr!C29,"________________________________________________________") &amp; ";   " &amp; IF(RefStr!F31&lt;&gt;"",RefStr!F31,"_______________")</f>
        <v>Obveznik: ________;   ________________________________________________________;   _______________</v>
      </c>
      <c r="B5" s="457"/>
      <c r="C5" s="457"/>
      <c r="D5" s="457"/>
      <c r="E5" s="457"/>
      <c r="F5" s="457"/>
      <c r="G5" s="457"/>
      <c r="H5" s="457"/>
      <c r="I5" s="457"/>
      <c r="J5" s="457"/>
      <c r="K5" s="457"/>
      <c r="L5" s="457"/>
      <c r="M5" s="457"/>
      <c r="N5" s="457"/>
      <c r="O5" s="458"/>
      <c r="P5" s="458"/>
      <c r="Q5" s="458"/>
      <c r="T5" s="3">
        <f>IF(OR(MAX(P9:P26,P28:P45)&lt;&gt;0,MIN(P9:P26,P28:P45)&lt;&gt;0),1,0)</f>
        <v>0</v>
      </c>
      <c r="U5" s="14" t="s">
        <v>2537</v>
      </c>
    </row>
    <row r="6" spans="1:24" s="3" customFormat="1" ht="41.4" thickBot="1" x14ac:dyDescent="0.3">
      <c r="A6" s="451" t="s">
        <v>2538</v>
      </c>
      <c r="B6" s="452"/>
      <c r="C6" s="452"/>
      <c r="D6" s="452"/>
      <c r="E6" s="452"/>
      <c r="F6" s="453"/>
      <c r="G6" s="61" t="s">
        <v>2335</v>
      </c>
      <c r="H6" s="63" t="s">
        <v>2336</v>
      </c>
      <c r="I6" s="74" t="s">
        <v>2539</v>
      </c>
      <c r="J6" s="74" t="s">
        <v>2540</v>
      </c>
      <c r="K6" s="74" t="s">
        <v>2392</v>
      </c>
      <c r="L6" s="74" t="s">
        <v>2541</v>
      </c>
      <c r="M6" s="74" t="s">
        <v>2542</v>
      </c>
      <c r="N6" s="74" t="s">
        <v>2543</v>
      </c>
      <c r="O6" s="74" t="s">
        <v>2544</v>
      </c>
      <c r="P6" s="74" t="s">
        <v>2545</v>
      </c>
      <c r="Q6" s="74" t="s">
        <v>2546</v>
      </c>
      <c r="U6" s="14"/>
    </row>
    <row r="7" spans="1:24" s="3" customFormat="1" ht="23.25" customHeight="1" x14ac:dyDescent="0.25">
      <c r="A7" s="454">
        <v>1</v>
      </c>
      <c r="B7" s="455"/>
      <c r="C7" s="455"/>
      <c r="D7" s="455"/>
      <c r="E7" s="455"/>
      <c r="F7" s="455"/>
      <c r="G7" s="165">
        <v>2</v>
      </c>
      <c r="H7" s="166">
        <v>3</v>
      </c>
      <c r="I7" s="164">
        <v>4</v>
      </c>
      <c r="J7" s="166">
        <v>5</v>
      </c>
      <c r="K7" s="164">
        <v>6</v>
      </c>
      <c r="L7" s="166">
        <v>7</v>
      </c>
      <c r="M7" s="164">
        <v>8</v>
      </c>
      <c r="N7" s="166">
        <v>9</v>
      </c>
      <c r="O7" s="164">
        <v>10</v>
      </c>
      <c r="P7" s="166">
        <v>11</v>
      </c>
      <c r="Q7" s="164" t="s">
        <v>2547</v>
      </c>
    </row>
    <row r="8" spans="1:24" s="3" customFormat="1" ht="15" customHeight="1" x14ac:dyDescent="0.2">
      <c r="A8" s="445" t="s">
        <v>2548</v>
      </c>
      <c r="B8" s="445"/>
      <c r="C8" s="445"/>
      <c r="D8" s="445"/>
      <c r="E8" s="445"/>
      <c r="F8" s="445"/>
      <c r="G8" s="445"/>
      <c r="H8" s="445"/>
      <c r="I8" s="445"/>
      <c r="J8" s="445"/>
      <c r="K8" s="445"/>
      <c r="L8" s="445"/>
      <c r="M8" s="445"/>
      <c r="N8" s="445"/>
      <c r="O8" s="446"/>
      <c r="P8" s="446"/>
      <c r="Q8" s="446"/>
      <c r="U8" s="90"/>
      <c r="V8" s="87"/>
      <c r="W8" s="90"/>
      <c r="X8" s="87"/>
    </row>
    <row r="9" spans="1:24" s="3" customFormat="1" ht="15" customHeight="1" x14ac:dyDescent="0.2">
      <c r="A9" s="444" t="s">
        <v>2549</v>
      </c>
      <c r="B9" s="444"/>
      <c r="C9" s="444"/>
      <c r="D9" s="444"/>
      <c r="E9" s="444"/>
      <c r="F9" s="444"/>
      <c r="G9" s="191">
        <v>1</v>
      </c>
      <c r="H9" s="85"/>
      <c r="I9" s="209"/>
      <c r="J9" s="209"/>
      <c r="K9" s="209"/>
      <c r="L9" s="209"/>
      <c r="M9" s="209"/>
      <c r="N9" s="209"/>
      <c r="O9" s="209"/>
      <c r="P9" s="209"/>
      <c r="Q9" s="210">
        <f>SUM(I9:P9)</f>
        <v>0</v>
      </c>
      <c r="U9" s="87"/>
      <c r="V9" s="87"/>
      <c r="W9" s="87"/>
      <c r="X9" s="87"/>
    </row>
    <row r="10" spans="1:24" s="3" customFormat="1" ht="15" customHeight="1" x14ac:dyDescent="0.2">
      <c r="A10" s="440" t="s">
        <v>2550</v>
      </c>
      <c r="B10" s="440"/>
      <c r="C10" s="440"/>
      <c r="D10" s="440"/>
      <c r="E10" s="440"/>
      <c r="F10" s="440"/>
      <c r="G10" s="191">
        <v>2</v>
      </c>
      <c r="H10" s="85"/>
      <c r="I10" s="209"/>
      <c r="J10" s="209"/>
      <c r="K10" s="209"/>
      <c r="L10" s="209"/>
      <c r="M10" s="209"/>
      <c r="N10" s="209"/>
      <c r="O10" s="209"/>
      <c r="P10" s="209"/>
      <c r="Q10" s="210">
        <f t="shared" ref="Q10:Q26" si="0">SUM(I10:P10)</f>
        <v>0</v>
      </c>
      <c r="U10" s="90"/>
      <c r="V10" s="90"/>
      <c r="W10" s="90"/>
      <c r="X10" s="87"/>
    </row>
    <row r="11" spans="1:24" s="3" customFormat="1" ht="15" customHeight="1" x14ac:dyDescent="0.2">
      <c r="A11" s="440" t="s">
        <v>2551</v>
      </c>
      <c r="B11" s="440"/>
      <c r="C11" s="440"/>
      <c r="D11" s="440"/>
      <c r="E11" s="440"/>
      <c r="F11" s="440"/>
      <c r="G11" s="191">
        <v>3</v>
      </c>
      <c r="H11" s="85"/>
      <c r="I11" s="209"/>
      <c r="J11" s="209"/>
      <c r="K11" s="209"/>
      <c r="L11" s="209"/>
      <c r="M11" s="209"/>
      <c r="N11" s="209"/>
      <c r="O11" s="209"/>
      <c r="P11" s="209"/>
      <c r="Q11" s="210">
        <f t="shared" si="0"/>
        <v>0</v>
      </c>
      <c r="U11" s="91"/>
      <c r="V11" s="91"/>
      <c r="W11" s="91"/>
      <c r="X11" s="87"/>
    </row>
    <row r="12" spans="1:24" s="3" customFormat="1" ht="24.9" customHeight="1" x14ac:dyDescent="0.2">
      <c r="A12" s="444" t="s">
        <v>2552</v>
      </c>
      <c r="B12" s="444"/>
      <c r="C12" s="444"/>
      <c r="D12" s="444"/>
      <c r="E12" s="444"/>
      <c r="F12" s="444"/>
      <c r="G12" s="191">
        <v>4</v>
      </c>
      <c r="H12" s="85"/>
      <c r="I12" s="210">
        <f t="shared" ref="I12:N12" si="1">ROUND(SUM(I9:I11),2)</f>
        <v>0</v>
      </c>
      <c r="J12" s="210">
        <f t="shared" si="1"/>
        <v>0</v>
      </c>
      <c r="K12" s="210">
        <f t="shared" si="1"/>
        <v>0</v>
      </c>
      <c r="L12" s="210">
        <f t="shared" si="1"/>
        <v>0</v>
      </c>
      <c r="M12" s="210">
        <f t="shared" si="1"/>
        <v>0</v>
      </c>
      <c r="N12" s="210">
        <f t="shared" si="1"/>
        <v>0</v>
      </c>
      <c r="O12" s="210">
        <f>SUM(O9:O11)</f>
        <v>0</v>
      </c>
      <c r="P12" s="210">
        <f>SUM(P9:P11)</f>
        <v>0</v>
      </c>
      <c r="Q12" s="210">
        <f t="shared" si="0"/>
        <v>0</v>
      </c>
      <c r="U12" s="91"/>
      <c r="V12" s="91"/>
      <c r="W12" s="91"/>
      <c r="X12" s="87"/>
    </row>
    <row r="13" spans="1:24" s="3" customFormat="1" ht="15" customHeight="1" x14ac:dyDescent="0.2">
      <c r="A13" s="440" t="s">
        <v>2553</v>
      </c>
      <c r="B13" s="440"/>
      <c r="C13" s="440"/>
      <c r="D13" s="440"/>
      <c r="E13" s="440"/>
      <c r="F13" s="440"/>
      <c r="G13" s="191">
        <v>5</v>
      </c>
      <c r="H13" s="85"/>
      <c r="I13" s="209"/>
      <c r="J13" s="209"/>
      <c r="K13" s="209"/>
      <c r="L13" s="209"/>
      <c r="M13" s="209"/>
      <c r="N13" s="209"/>
      <c r="O13" s="209"/>
      <c r="P13" s="209"/>
      <c r="Q13" s="210">
        <f t="shared" si="0"/>
        <v>0</v>
      </c>
      <c r="U13" s="91"/>
      <c r="V13" s="91"/>
      <c r="W13" s="91"/>
      <c r="X13" s="87"/>
    </row>
    <row r="14" spans="1:24" s="3" customFormat="1" ht="15" customHeight="1" x14ac:dyDescent="0.2">
      <c r="A14" s="440" t="s">
        <v>2554</v>
      </c>
      <c r="B14" s="440"/>
      <c r="C14" s="440"/>
      <c r="D14" s="440"/>
      <c r="E14" s="440"/>
      <c r="F14" s="440"/>
      <c r="G14" s="191">
        <v>6</v>
      </c>
      <c r="H14" s="85"/>
      <c r="I14" s="209"/>
      <c r="J14" s="209"/>
      <c r="K14" s="209"/>
      <c r="L14" s="209"/>
      <c r="M14" s="209"/>
      <c r="N14" s="209"/>
      <c r="O14" s="209"/>
      <c r="P14" s="209"/>
      <c r="Q14" s="210">
        <f t="shared" si="0"/>
        <v>0</v>
      </c>
      <c r="U14" s="91"/>
      <c r="V14" s="91"/>
      <c r="W14" s="91"/>
      <c r="X14" s="87"/>
    </row>
    <row r="15" spans="1:24" s="3" customFormat="1" ht="15" customHeight="1" x14ac:dyDescent="0.2">
      <c r="A15" s="440" t="s">
        <v>2555</v>
      </c>
      <c r="B15" s="440"/>
      <c r="C15" s="440"/>
      <c r="D15" s="440"/>
      <c r="E15" s="440"/>
      <c r="F15" s="440"/>
      <c r="G15" s="191">
        <v>7</v>
      </c>
      <c r="H15" s="85"/>
      <c r="I15" s="209"/>
      <c r="J15" s="209"/>
      <c r="K15" s="209"/>
      <c r="L15" s="209"/>
      <c r="M15" s="209"/>
      <c r="N15" s="209"/>
      <c r="O15" s="209"/>
      <c r="P15" s="209"/>
      <c r="Q15" s="210">
        <f t="shared" si="0"/>
        <v>0</v>
      </c>
      <c r="U15" s="91"/>
      <c r="V15" s="91"/>
      <c r="W15" s="91"/>
      <c r="X15" s="87"/>
    </row>
    <row r="16" spans="1:24" s="3" customFormat="1" ht="15" customHeight="1" x14ac:dyDescent="0.2">
      <c r="A16" s="440" t="s">
        <v>2556</v>
      </c>
      <c r="B16" s="440"/>
      <c r="C16" s="440"/>
      <c r="D16" s="440"/>
      <c r="E16" s="440"/>
      <c r="F16" s="440"/>
      <c r="G16" s="191">
        <v>8</v>
      </c>
      <c r="H16" s="85"/>
      <c r="I16" s="209"/>
      <c r="J16" s="209"/>
      <c r="K16" s="209"/>
      <c r="L16" s="209"/>
      <c r="M16" s="209"/>
      <c r="N16" s="209"/>
      <c r="O16" s="209"/>
      <c r="P16" s="209"/>
      <c r="Q16" s="210">
        <f t="shared" si="0"/>
        <v>0</v>
      </c>
      <c r="U16" s="91"/>
      <c r="V16" s="91"/>
      <c r="W16" s="91"/>
      <c r="X16" s="87"/>
    </row>
    <row r="17" spans="1:24" s="3" customFormat="1" ht="24.9" customHeight="1" x14ac:dyDescent="0.2">
      <c r="A17" s="441" t="s">
        <v>2557</v>
      </c>
      <c r="B17" s="442"/>
      <c r="C17" s="442"/>
      <c r="D17" s="442"/>
      <c r="E17" s="442"/>
      <c r="F17" s="443"/>
      <c r="G17" s="191">
        <v>9</v>
      </c>
      <c r="H17" s="85"/>
      <c r="I17" s="209"/>
      <c r="J17" s="209"/>
      <c r="K17" s="209"/>
      <c r="L17" s="209"/>
      <c r="M17" s="209"/>
      <c r="N17" s="209"/>
      <c r="O17" s="209"/>
      <c r="P17" s="209"/>
      <c r="Q17" s="210">
        <f t="shared" si="0"/>
        <v>0</v>
      </c>
      <c r="U17" s="91"/>
      <c r="V17" s="91"/>
      <c r="W17" s="91"/>
      <c r="X17" s="87"/>
    </row>
    <row r="18" spans="1:24" s="3" customFormat="1" ht="15" customHeight="1" x14ac:dyDescent="0.2">
      <c r="A18" s="441" t="s">
        <v>2558</v>
      </c>
      <c r="B18" s="442"/>
      <c r="C18" s="442"/>
      <c r="D18" s="442"/>
      <c r="E18" s="442"/>
      <c r="F18" s="443"/>
      <c r="G18" s="191">
        <v>10</v>
      </c>
      <c r="H18" s="85"/>
      <c r="I18" s="209"/>
      <c r="J18" s="209"/>
      <c r="K18" s="209"/>
      <c r="L18" s="209"/>
      <c r="M18" s="209"/>
      <c r="N18" s="209"/>
      <c r="O18" s="209"/>
      <c r="P18" s="209"/>
      <c r="Q18" s="210">
        <f t="shared" si="0"/>
        <v>0</v>
      </c>
      <c r="U18" s="91"/>
      <c r="V18" s="91"/>
      <c r="W18" s="91"/>
      <c r="X18" s="87"/>
    </row>
    <row r="19" spans="1:24" s="3" customFormat="1" ht="15" customHeight="1" x14ac:dyDescent="0.2">
      <c r="A19" s="441" t="s">
        <v>2559</v>
      </c>
      <c r="B19" s="442"/>
      <c r="C19" s="442"/>
      <c r="D19" s="442"/>
      <c r="E19" s="442"/>
      <c r="F19" s="443"/>
      <c r="G19" s="191">
        <v>11</v>
      </c>
      <c r="H19" s="85"/>
      <c r="I19" s="209"/>
      <c r="J19" s="209"/>
      <c r="K19" s="209"/>
      <c r="L19" s="209"/>
      <c r="M19" s="209"/>
      <c r="N19" s="209"/>
      <c r="O19" s="209"/>
      <c r="P19" s="209"/>
      <c r="Q19" s="210">
        <f t="shared" si="0"/>
        <v>0</v>
      </c>
      <c r="U19" s="91"/>
      <c r="V19" s="91"/>
      <c r="W19" s="91"/>
      <c r="X19" s="87"/>
    </row>
    <row r="20" spans="1:24" s="3" customFormat="1" ht="24.9" customHeight="1" x14ac:dyDescent="0.2">
      <c r="A20" s="444" t="s">
        <v>2560</v>
      </c>
      <c r="B20" s="444"/>
      <c r="C20" s="444"/>
      <c r="D20" s="444"/>
      <c r="E20" s="444"/>
      <c r="F20" s="444"/>
      <c r="G20" s="191">
        <v>12</v>
      </c>
      <c r="H20" s="85"/>
      <c r="I20" s="210">
        <f>SUM(I13:I19)</f>
        <v>0</v>
      </c>
      <c r="J20" s="210">
        <f t="shared" ref="J20:P20" si="2">SUM(J13:J19)</f>
        <v>0</v>
      </c>
      <c r="K20" s="210">
        <f t="shared" si="2"/>
        <v>0</v>
      </c>
      <c r="L20" s="210">
        <f t="shared" si="2"/>
        <v>0</v>
      </c>
      <c r="M20" s="210">
        <f t="shared" si="2"/>
        <v>0</v>
      </c>
      <c r="N20" s="210">
        <f t="shared" si="2"/>
        <v>0</v>
      </c>
      <c r="O20" s="210">
        <f t="shared" si="2"/>
        <v>0</v>
      </c>
      <c r="P20" s="210">
        <f t="shared" si="2"/>
        <v>0</v>
      </c>
      <c r="Q20" s="210">
        <f t="shared" si="0"/>
        <v>0</v>
      </c>
      <c r="U20" s="92"/>
      <c r="V20" s="92"/>
      <c r="W20" s="92"/>
      <c r="X20" s="87"/>
    </row>
    <row r="21" spans="1:24" s="3" customFormat="1" ht="15" customHeight="1" x14ac:dyDescent="0.2">
      <c r="A21" s="440" t="s">
        <v>2561</v>
      </c>
      <c r="B21" s="440"/>
      <c r="C21" s="440"/>
      <c r="D21" s="440"/>
      <c r="E21" s="440"/>
      <c r="F21" s="440"/>
      <c r="G21" s="191">
        <v>13</v>
      </c>
      <c r="H21" s="85"/>
      <c r="I21" s="209"/>
      <c r="J21" s="209"/>
      <c r="K21" s="209"/>
      <c r="L21" s="209"/>
      <c r="M21" s="209"/>
      <c r="N21" s="209"/>
      <c r="O21" s="209"/>
      <c r="P21" s="209"/>
      <c r="Q21" s="210">
        <f t="shared" si="0"/>
        <v>0</v>
      </c>
      <c r="U21" s="91"/>
      <c r="V21" s="91"/>
      <c r="W21" s="91"/>
      <c r="X21" s="87"/>
    </row>
    <row r="22" spans="1:24" s="3" customFormat="1" ht="15" customHeight="1" x14ac:dyDescent="0.2">
      <c r="A22" s="440" t="s">
        <v>2562</v>
      </c>
      <c r="B22" s="440"/>
      <c r="C22" s="440"/>
      <c r="D22" s="440"/>
      <c r="E22" s="440"/>
      <c r="F22" s="440"/>
      <c r="G22" s="191">
        <v>14</v>
      </c>
      <c r="H22" s="85"/>
      <c r="I22" s="209"/>
      <c r="J22" s="209"/>
      <c r="K22" s="209"/>
      <c r="L22" s="209"/>
      <c r="M22" s="209"/>
      <c r="N22" s="209"/>
      <c r="O22" s="209"/>
      <c r="P22" s="209"/>
      <c r="Q22" s="210">
        <f t="shared" si="0"/>
        <v>0</v>
      </c>
      <c r="U22" s="92"/>
      <c r="V22" s="92"/>
      <c r="W22" s="92"/>
      <c r="X22" s="87"/>
    </row>
    <row r="23" spans="1:24" s="3" customFormat="1" ht="15" customHeight="1" x14ac:dyDescent="0.2">
      <c r="A23" s="440" t="s">
        <v>2563</v>
      </c>
      <c r="B23" s="440"/>
      <c r="C23" s="440"/>
      <c r="D23" s="440"/>
      <c r="E23" s="440"/>
      <c r="F23" s="440"/>
      <c r="G23" s="191">
        <v>15</v>
      </c>
      <c r="H23" s="85"/>
      <c r="I23" s="209"/>
      <c r="J23" s="209"/>
      <c r="K23" s="209"/>
      <c r="L23" s="209"/>
      <c r="M23" s="209"/>
      <c r="N23" s="209"/>
      <c r="O23" s="209"/>
      <c r="P23" s="209"/>
      <c r="Q23" s="210">
        <f>SUM(I23:P23)</f>
        <v>0</v>
      </c>
      <c r="U23" s="92"/>
      <c r="V23" s="92"/>
      <c r="W23" s="92"/>
      <c r="X23" s="87"/>
    </row>
    <row r="24" spans="1:24" s="3" customFormat="1" ht="15" customHeight="1" x14ac:dyDescent="0.2">
      <c r="A24" s="440" t="s">
        <v>2564</v>
      </c>
      <c r="B24" s="440"/>
      <c r="C24" s="440"/>
      <c r="D24" s="440"/>
      <c r="E24" s="440"/>
      <c r="F24" s="440"/>
      <c r="G24" s="191">
        <v>16</v>
      </c>
      <c r="H24" s="85"/>
      <c r="I24" s="209"/>
      <c r="J24" s="209"/>
      <c r="K24" s="209"/>
      <c r="L24" s="209"/>
      <c r="M24" s="209"/>
      <c r="N24" s="209"/>
      <c r="O24" s="209"/>
      <c r="P24" s="209"/>
      <c r="Q24" s="210">
        <f t="shared" si="0"/>
        <v>0</v>
      </c>
      <c r="U24" s="92"/>
      <c r="V24" s="92"/>
      <c r="W24" s="92"/>
      <c r="X24" s="87"/>
    </row>
    <row r="25" spans="1:24" s="3" customFormat="1" ht="15" customHeight="1" x14ac:dyDescent="0.2">
      <c r="A25" s="440" t="s">
        <v>2565</v>
      </c>
      <c r="B25" s="440"/>
      <c r="C25" s="440"/>
      <c r="D25" s="440"/>
      <c r="E25" s="440"/>
      <c r="F25" s="440"/>
      <c r="G25" s="191">
        <v>17</v>
      </c>
      <c r="H25" s="85"/>
      <c r="I25" s="209"/>
      <c r="J25" s="209"/>
      <c r="K25" s="209"/>
      <c r="L25" s="209"/>
      <c r="M25" s="209"/>
      <c r="N25" s="209"/>
      <c r="O25" s="209"/>
      <c r="P25" s="209"/>
      <c r="Q25" s="210">
        <f t="shared" si="0"/>
        <v>0</v>
      </c>
      <c r="U25" s="92"/>
      <c r="V25" s="92"/>
      <c r="W25" s="92"/>
      <c r="X25" s="87"/>
    </row>
    <row r="26" spans="1:24" s="3" customFormat="1" ht="24.9" customHeight="1" x14ac:dyDescent="0.2">
      <c r="A26" s="459" t="s">
        <v>2566</v>
      </c>
      <c r="B26" s="459"/>
      <c r="C26" s="459"/>
      <c r="D26" s="459"/>
      <c r="E26" s="459"/>
      <c r="F26" s="459"/>
      <c r="G26" s="192">
        <v>18</v>
      </c>
      <c r="H26" s="86"/>
      <c r="I26" s="210">
        <f>I12+SUM(I20:I25)</f>
        <v>0</v>
      </c>
      <c r="J26" s="210">
        <f t="shared" ref="J26:P26" si="3">J12+SUM(J20:J25)</f>
        <v>0</v>
      </c>
      <c r="K26" s="210">
        <f t="shared" si="3"/>
        <v>0</v>
      </c>
      <c r="L26" s="210">
        <f t="shared" si="3"/>
        <v>0</v>
      </c>
      <c r="M26" s="210">
        <f t="shared" si="3"/>
        <v>0</v>
      </c>
      <c r="N26" s="210">
        <f t="shared" si="3"/>
        <v>0</v>
      </c>
      <c r="O26" s="210">
        <f t="shared" si="3"/>
        <v>0</v>
      </c>
      <c r="P26" s="210">
        <f t="shared" si="3"/>
        <v>0</v>
      </c>
      <c r="Q26" s="210">
        <f t="shared" si="0"/>
        <v>0</v>
      </c>
      <c r="U26" s="87"/>
      <c r="V26" s="87"/>
    </row>
    <row r="27" spans="1:24" s="3" customFormat="1" ht="15" customHeight="1" x14ac:dyDescent="0.2">
      <c r="A27" s="445" t="s">
        <v>2567</v>
      </c>
      <c r="B27" s="460"/>
      <c r="C27" s="460"/>
      <c r="D27" s="460"/>
      <c r="E27" s="460"/>
      <c r="F27" s="460"/>
      <c r="G27" s="460"/>
      <c r="H27" s="460"/>
      <c r="I27" s="460"/>
      <c r="J27" s="460"/>
      <c r="K27" s="460"/>
      <c r="L27" s="460"/>
      <c r="M27" s="460"/>
      <c r="N27" s="460"/>
      <c r="O27" s="460"/>
      <c r="P27" s="460"/>
      <c r="Q27" s="460"/>
      <c r="U27" s="90"/>
      <c r="V27" s="87"/>
      <c r="W27" s="90"/>
      <c r="X27" s="87"/>
    </row>
    <row r="28" spans="1:24" s="3" customFormat="1" ht="15" customHeight="1" x14ac:dyDescent="0.2">
      <c r="A28" s="444" t="s">
        <v>2568</v>
      </c>
      <c r="B28" s="444"/>
      <c r="C28" s="444"/>
      <c r="D28" s="444"/>
      <c r="E28" s="444"/>
      <c r="F28" s="444"/>
      <c r="G28" s="191">
        <v>19</v>
      </c>
      <c r="H28" s="85"/>
      <c r="I28" s="209"/>
      <c r="J28" s="209"/>
      <c r="K28" s="209"/>
      <c r="L28" s="209"/>
      <c r="M28" s="209"/>
      <c r="N28" s="209"/>
      <c r="O28" s="209"/>
      <c r="P28" s="209"/>
      <c r="Q28" s="210">
        <f>SUM(I28:P28)</f>
        <v>0</v>
      </c>
      <c r="U28" s="87"/>
      <c r="V28" s="87"/>
    </row>
    <row r="29" spans="1:24" s="3" customFormat="1" ht="15" customHeight="1" x14ac:dyDescent="0.2">
      <c r="A29" s="440" t="s">
        <v>2550</v>
      </c>
      <c r="B29" s="440"/>
      <c r="C29" s="440"/>
      <c r="D29" s="440"/>
      <c r="E29" s="440"/>
      <c r="F29" s="440"/>
      <c r="G29" s="191">
        <v>20</v>
      </c>
      <c r="H29" s="85"/>
      <c r="I29" s="209"/>
      <c r="J29" s="209"/>
      <c r="K29" s="209"/>
      <c r="L29" s="209"/>
      <c r="M29" s="209"/>
      <c r="N29" s="209"/>
      <c r="O29" s="209"/>
      <c r="P29" s="209"/>
      <c r="Q29" s="210">
        <f t="shared" ref="Q29:Q45" si="4">SUM(I29:P29)</f>
        <v>0</v>
      </c>
      <c r="U29" s="87"/>
      <c r="V29" s="87"/>
    </row>
    <row r="30" spans="1:24" s="3" customFormat="1" ht="15" customHeight="1" x14ac:dyDescent="0.2">
      <c r="A30" s="440" t="s">
        <v>2551</v>
      </c>
      <c r="B30" s="440"/>
      <c r="C30" s="440"/>
      <c r="D30" s="440"/>
      <c r="E30" s="440"/>
      <c r="F30" s="440"/>
      <c r="G30" s="191">
        <v>21</v>
      </c>
      <c r="H30" s="85"/>
      <c r="I30" s="209"/>
      <c r="J30" s="209"/>
      <c r="K30" s="209"/>
      <c r="L30" s="209"/>
      <c r="M30" s="209"/>
      <c r="N30" s="209"/>
      <c r="O30" s="209"/>
      <c r="P30" s="209"/>
      <c r="Q30" s="210">
        <f t="shared" si="4"/>
        <v>0</v>
      </c>
      <c r="U30" s="87"/>
      <c r="V30" s="87"/>
    </row>
    <row r="31" spans="1:24" s="3" customFormat="1" ht="24.9" customHeight="1" x14ac:dyDescent="0.2">
      <c r="A31" s="444" t="s">
        <v>2569</v>
      </c>
      <c r="B31" s="444"/>
      <c r="C31" s="444"/>
      <c r="D31" s="444"/>
      <c r="E31" s="444"/>
      <c r="F31" s="444"/>
      <c r="G31" s="191">
        <v>22</v>
      </c>
      <c r="H31" s="85"/>
      <c r="I31" s="210">
        <f>SUM(I28:I30)</f>
        <v>0</v>
      </c>
      <c r="J31" s="210">
        <f t="shared" ref="J31:P31" si="5">SUM(J28:J30)</f>
        <v>0</v>
      </c>
      <c r="K31" s="210">
        <f t="shared" si="5"/>
        <v>0</v>
      </c>
      <c r="L31" s="210">
        <f t="shared" si="5"/>
        <v>0</v>
      </c>
      <c r="M31" s="210">
        <f t="shared" si="5"/>
        <v>0</v>
      </c>
      <c r="N31" s="210">
        <f t="shared" si="5"/>
        <v>0</v>
      </c>
      <c r="O31" s="210">
        <f t="shared" si="5"/>
        <v>0</v>
      </c>
      <c r="P31" s="210">
        <f t="shared" si="5"/>
        <v>0</v>
      </c>
      <c r="Q31" s="210">
        <f t="shared" si="4"/>
        <v>0</v>
      </c>
      <c r="U31" s="87"/>
      <c r="V31" s="87"/>
    </row>
    <row r="32" spans="1:24" ht="15" customHeight="1" x14ac:dyDescent="0.2">
      <c r="A32" s="440" t="s">
        <v>2553</v>
      </c>
      <c r="B32" s="440"/>
      <c r="C32" s="440"/>
      <c r="D32" s="440"/>
      <c r="E32" s="440"/>
      <c r="F32" s="440"/>
      <c r="G32" s="191">
        <v>23</v>
      </c>
      <c r="H32" s="85"/>
      <c r="I32" s="209"/>
      <c r="J32" s="209"/>
      <c r="K32" s="209"/>
      <c r="L32" s="209"/>
      <c r="M32" s="209"/>
      <c r="N32" s="209"/>
      <c r="O32" s="209"/>
      <c r="P32" s="209"/>
      <c r="Q32" s="210">
        <f t="shared" si="4"/>
        <v>0</v>
      </c>
    </row>
    <row r="33" spans="1:22" ht="15" customHeight="1" x14ac:dyDescent="0.2">
      <c r="A33" s="440" t="s">
        <v>2554</v>
      </c>
      <c r="B33" s="440"/>
      <c r="C33" s="440"/>
      <c r="D33" s="440"/>
      <c r="E33" s="440"/>
      <c r="F33" s="440"/>
      <c r="G33" s="191">
        <v>24</v>
      </c>
      <c r="H33" s="85"/>
      <c r="I33" s="209"/>
      <c r="J33" s="209"/>
      <c r="K33" s="209"/>
      <c r="L33" s="209"/>
      <c r="M33" s="209"/>
      <c r="N33" s="209"/>
      <c r="O33" s="209"/>
      <c r="P33" s="209"/>
      <c r="Q33" s="210">
        <f t="shared" si="4"/>
        <v>0</v>
      </c>
    </row>
    <row r="34" spans="1:22" ht="15" customHeight="1" x14ac:dyDescent="0.2">
      <c r="A34" s="440" t="s">
        <v>2555</v>
      </c>
      <c r="B34" s="440"/>
      <c r="C34" s="440"/>
      <c r="D34" s="440"/>
      <c r="E34" s="440"/>
      <c r="F34" s="440"/>
      <c r="G34" s="191">
        <v>25</v>
      </c>
      <c r="H34" s="85"/>
      <c r="I34" s="209"/>
      <c r="J34" s="209"/>
      <c r="K34" s="209"/>
      <c r="L34" s="209"/>
      <c r="M34" s="209"/>
      <c r="N34" s="209"/>
      <c r="O34" s="209"/>
      <c r="P34" s="209"/>
      <c r="Q34" s="210">
        <f t="shared" si="4"/>
        <v>0</v>
      </c>
    </row>
    <row r="35" spans="1:22" ht="15" customHeight="1" x14ac:dyDescent="0.2">
      <c r="A35" s="440" t="s">
        <v>2556</v>
      </c>
      <c r="B35" s="440"/>
      <c r="C35" s="440"/>
      <c r="D35" s="440"/>
      <c r="E35" s="440"/>
      <c r="F35" s="440"/>
      <c r="G35" s="191">
        <v>26</v>
      </c>
      <c r="H35" s="85"/>
      <c r="I35" s="209"/>
      <c r="J35" s="209"/>
      <c r="K35" s="209"/>
      <c r="L35" s="209"/>
      <c r="M35" s="209"/>
      <c r="N35" s="209"/>
      <c r="O35" s="209"/>
      <c r="P35" s="209"/>
      <c r="Q35" s="210">
        <f t="shared" si="4"/>
        <v>0</v>
      </c>
    </row>
    <row r="36" spans="1:22" ht="24.9" customHeight="1" x14ac:dyDescent="0.2">
      <c r="A36" s="440" t="s">
        <v>2557</v>
      </c>
      <c r="B36" s="440"/>
      <c r="C36" s="440"/>
      <c r="D36" s="440"/>
      <c r="E36" s="440"/>
      <c r="F36" s="440"/>
      <c r="G36" s="191">
        <v>27</v>
      </c>
      <c r="H36" s="85"/>
      <c r="I36" s="209"/>
      <c r="J36" s="209"/>
      <c r="K36" s="209"/>
      <c r="L36" s="209"/>
      <c r="M36" s="209"/>
      <c r="N36" s="209"/>
      <c r="O36" s="209"/>
      <c r="P36" s="209"/>
      <c r="Q36" s="210">
        <f t="shared" si="4"/>
        <v>0</v>
      </c>
    </row>
    <row r="37" spans="1:22" ht="15" customHeight="1" x14ac:dyDescent="0.2">
      <c r="A37" s="440" t="s">
        <v>2558</v>
      </c>
      <c r="B37" s="440"/>
      <c r="C37" s="440"/>
      <c r="D37" s="440"/>
      <c r="E37" s="440"/>
      <c r="F37" s="440"/>
      <c r="G37" s="191">
        <v>28</v>
      </c>
      <c r="H37" s="85"/>
      <c r="I37" s="209"/>
      <c r="J37" s="209"/>
      <c r="K37" s="209"/>
      <c r="L37" s="209"/>
      <c r="M37" s="209"/>
      <c r="N37" s="209"/>
      <c r="O37" s="209"/>
      <c r="P37" s="209"/>
      <c r="Q37" s="210">
        <f t="shared" si="4"/>
        <v>0</v>
      </c>
    </row>
    <row r="38" spans="1:22" ht="15" customHeight="1" x14ac:dyDescent="0.2">
      <c r="A38" s="440" t="s">
        <v>2559</v>
      </c>
      <c r="B38" s="440"/>
      <c r="C38" s="440"/>
      <c r="D38" s="440"/>
      <c r="E38" s="440"/>
      <c r="F38" s="440"/>
      <c r="G38" s="191">
        <v>29</v>
      </c>
      <c r="H38" s="85"/>
      <c r="I38" s="209"/>
      <c r="J38" s="209"/>
      <c r="K38" s="209"/>
      <c r="L38" s="209"/>
      <c r="M38" s="209"/>
      <c r="N38" s="209"/>
      <c r="O38" s="209"/>
      <c r="P38" s="209"/>
      <c r="Q38" s="210">
        <f t="shared" si="4"/>
        <v>0</v>
      </c>
    </row>
    <row r="39" spans="1:22" ht="24.9" customHeight="1" x14ac:dyDescent="0.2">
      <c r="A39" s="444" t="s">
        <v>2570</v>
      </c>
      <c r="B39" s="444"/>
      <c r="C39" s="444"/>
      <c r="D39" s="444"/>
      <c r="E39" s="444"/>
      <c r="F39" s="444"/>
      <c r="G39" s="191">
        <v>30</v>
      </c>
      <c r="H39" s="85"/>
      <c r="I39" s="210">
        <f>SUM(I32:I38)</f>
        <v>0</v>
      </c>
      <c r="J39" s="210">
        <f t="shared" ref="J39:P39" si="6">SUM(J32:J38)</f>
        <v>0</v>
      </c>
      <c r="K39" s="210">
        <f t="shared" si="6"/>
        <v>0</v>
      </c>
      <c r="L39" s="210">
        <f t="shared" si="6"/>
        <v>0</v>
      </c>
      <c r="M39" s="210">
        <f t="shared" si="6"/>
        <v>0</v>
      </c>
      <c r="N39" s="210">
        <f t="shared" si="6"/>
        <v>0</v>
      </c>
      <c r="O39" s="210">
        <f t="shared" si="6"/>
        <v>0</v>
      </c>
      <c r="P39" s="210">
        <f t="shared" si="6"/>
        <v>0</v>
      </c>
      <c r="Q39" s="210">
        <f t="shared" si="4"/>
        <v>0</v>
      </c>
    </row>
    <row r="40" spans="1:22" ht="15" customHeight="1" x14ac:dyDescent="0.2">
      <c r="A40" s="440" t="s">
        <v>2561</v>
      </c>
      <c r="B40" s="440"/>
      <c r="C40" s="440"/>
      <c r="D40" s="440"/>
      <c r="E40" s="440"/>
      <c r="F40" s="440"/>
      <c r="G40" s="191">
        <v>31</v>
      </c>
      <c r="H40" s="85"/>
      <c r="I40" s="209"/>
      <c r="J40" s="209"/>
      <c r="K40" s="209"/>
      <c r="L40" s="209"/>
      <c r="M40" s="209"/>
      <c r="N40" s="209"/>
      <c r="O40" s="209"/>
      <c r="P40" s="209"/>
      <c r="Q40" s="210">
        <f t="shared" si="4"/>
        <v>0</v>
      </c>
    </row>
    <row r="41" spans="1:22" ht="15" customHeight="1" x14ac:dyDescent="0.2">
      <c r="A41" s="440" t="s">
        <v>2562</v>
      </c>
      <c r="B41" s="440"/>
      <c r="C41" s="440"/>
      <c r="D41" s="440"/>
      <c r="E41" s="440"/>
      <c r="F41" s="440"/>
      <c r="G41" s="191">
        <v>32</v>
      </c>
      <c r="H41" s="85"/>
      <c r="I41" s="209"/>
      <c r="J41" s="209"/>
      <c r="K41" s="209"/>
      <c r="L41" s="209"/>
      <c r="M41" s="209"/>
      <c r="N41" s="209"/>
      <c r="O41" s="209"/>
      <c r="P41" s="209"/>
      <c r="Q41" s="210">
        <f>SUM(I41:P41)</f>
        <v>0</v>
      </c>
    </row>
    <row r="42" spans="1:22" ht="15" customHeight="1" x14ac:dyDescent="0.2">
      <c r="A42" s="440" t="s">
        <v>2563</v>
      </c>
      <c r="B42" s="440"/>
      <c r="C42" s="440"/>
      <c r="D42" s="440"/>
      <c r="E42" s="440"/>
      <c r="F42" s="440"/>
      <c r="G42" s="191">
        <v>33</v>
      </c>
      <c r="H42" s="85"/>
      <c r="I42" s="209"/>
      <c r="J42" s="209"/>
      <c r="K42" s="209"/>
      <c r="L42" s="209"/>
      <c r="M42" s="209"/>
      <c r="N42" s="209"/>
      <c r="O42" s="209"/>
      <c r="P42" s="209"/>
      <c r="Q42" s="210">
        <f t="shared" si="4"/>
        <v>0</v>
      </c>
    </row>
    <row r="43" spans="1:22" ht="15" customHeight="1" x14ac:dyDescent="0.2">
      <c r="A43" s="440" t="s">
        <v>2564</v>
      </c>
      <c r="B43" s="440"/>
      <c r="C43" s="440"/>
      <c r="D43" s="440"/>
      <c r="E43" s="440"/>
      <c r="F43" s="440"/>
      <c r="G43" s="191">
        <v>34</v>
      </c>
      <c r="H43" s="85"/>
      <c r="I43" s="209"/>
      <c r="J43" s="209"/>
      <c r="K43" s="209"/>
      <c r="L43" s="209"/>
      <c r="M43" s="209"/>
      <c r="N43" s="209"/>
      <c r="O43" s="209"/>
      <c r="P43" s="209"/>
      <c r="Q43" s="210">
        <f t="shared" si="4"/>
        <v>0</v>
      </c>
    </row>
    <row r="44" spans="1:22" s="3" customFormat="1" ht="15" customHeight="1" x14ac:dyDescent="0.2">
      <c r="A44" s="440" t="s">
        <v>2565</v>
      </c>
      <c r="B44" s="440"/>
      <c r="C44" s="440"/>
      <c r="D44" s="440"/>
      <c r="E44" s="440"/>
      <c r="F44" s="440"/>
      <c r="G44" s="191">
        <v>35</v>
      </c>
      <c r="H44" s="85"/>
      <c r="I44" s="209"/>
      <c r="J44" s="209"/>
      <c r="K44" s="209"/>
      <c r="L44" s="209"/>
      <c r="M44" s="209"/>
      <c r="N44" s="209"/>
      <c r="O44" s="209"/>
      <c r="P44" s="209"/>
      <c r="Q44" s="210">
        <f t="shared" si="4"/>
        <v>0</v>
      </c>
      <c r="U44" s="87"/>
      <c r="V44" s="87"/>
    </row>
    <row r="45" spans="1:22" s="3" customFormat="1" ht="24.9" customHeight="1" x14ac:dyDescent="0.2">
      <c r="A45" s="459" t="s">
        <v>2571</v>
      </c>
      <c r="B45" s="459"/>
      <c r="C45" s="459"/>
      <c r="D45" s="459"/>
      <c r="E45" s="459"/>
      <c r="F45" s="459"/>
      <c r="G45" s="192">
        <v>36</v>
      </c>
      <c r="H45" s="86"/>
      <c r="I45" s="211">
        <f>I31+SUM(I39:I44)</f>
        <v>0</v>
      </c>
      <c r="J45" s="211">
        <f t="shared" ref="J45:P45" si="7">J31+SUM(J39:J44)</f>
        <v>0</v>
      </c>
      <c r="K45" s="211">
        <f t="shared" si="7"/>
        <v>0</v>
      </c>
      <c r="L45" s="211">
        <f t="shared" si="7"/>
        <v>0</v>
      </c>
      <c r="M45" s="211">
        <f t="shared" si="7"/>
        <v>0</v>
      </c>
      <c r="N45" s="211">
        <f t="shared" si="7"/>
        <v>0</v>
      </c>
      <c r="O45" s="211">
        <f t="shared" si="7"/>
        <v>0</v>
      </c>
      <c r="P45" s="211">
        <f t="shared" si="7"/>
        <v>0</v>
      </c>
      <c r="Q45" s="211">
        <f t="shared" si="4"/>
        <v>0</v>
      </c>
      <c r="U45" s="87"/>
      <c r="V45" s="87"/>
    </row>
    <row r="46" spans="1:22" ht="5.0999999999999996" customHeight="1" x14ac:dyDescent="0.2"/>
    <row r="47" spans="1:22" ht="12.75" hidden="1" customHeight="1" x14ac:dyDescent="0.2"/>
    <row r="48" spans="1:22" ht="12.75" hidden="1" customHeight="1" x14ac:dyDescent="0.2"/>
    <row r="49" ht="12.75" hidden="1" customHeight="1" x14ac:dyDescent="0.2"/>
    <row r="50" ht="12.75" hidden="1" customHeight="1" x14ac:dyDescent="0.2"/>
    <row r="51" ht="12.75" hidden="1" customHeight="1" x14ac:dyDescent="0.2"/>
    <row r="66" ht="24.9" hidden="1" customHeight="1" x14ac:dyDescent="0.2"/>
  </sheetData>
  <sheetProtection password="C79A" sheet="1" objects="1" scenarios="1"/>
  <mergeCells count="45">
    <mergeCell ref="A45:F45"/>
    <mergeCell ref="A27:Q27"/>
    <mergeCell ref="A39:F39"/>
    <mergeCell ref="A40:F40"/>
    <mergeCell ref="A42:F42"/>
    <mergeCell ref="A31:F31"/>
    <mergeCell ref="A33:F33"/>
    <mergeCell ref="A34:F34"/>
    <mergeCell ref="A35:F35"/>
    <mergeCell ref="A32:F32"/>
    <mergeCell ref="A43:F43"/>
    <mergeCell ref="A44:F44"/>
    <mergeCell ref="A36:F36"/>
    <mergeCell ref="A37:F37"/>
    <mergeCell ref="A38:F38"/>
    <mergeCell ref="A41:F41"/>
    <mergeCell ref="A26:F26"/>
    <mergeCell ref="A30:F30"/>
    <mergeCell ref="A20:F20"/>
    <mergeCell ref="A28:F28"/>
    <mergeCell ref="A29:F29"/>
    <mergeCell ref="A21:F21"/>
    <mergeCell ref="A22:F22"/>
    <mergeCell ref="Q2:Q3"/>
    <mergeCell ref="A2:H2"/>
    <mergeCell ref="A3:H3"/>
    <mergeCell ref="A6:F6"/>
    <mergeCell ref="A7:F7"/>
    <mergeCell ref="P4:Q4"/>
    <mergeCell ref="A5:Q5"/>
    <mergeCell ref="A9:F9"/>
    <mergeCell ref="A10:F10"/>
    <mergeCell ref="A11:F11"/>
    <mergeCell ref="A12:F12"/>
    <mergeCell ref="A8:Q8"/>
    <mergeCell ref="A14:F14"/>
    <mergeCell ref="A15:F15"/>
    <mergeCell ref="A25:F25"/>
    <mergeCell ref="A13:F13"/>
    <mergeCell ref="A16:F16"/>
    <mergeCell ref="A17:F17"/>
    <mergeCell ref="A18:F18"/>
    <mergeCell ref="A19:F19"/>
    <mergeCell ref="A24:F24"/>
    <mergeCell ref="A23:F23"/>
  </mergeCells>
  <phoneticPr fontId="3" type="noConversion"/>
  <conditionalFormatting sqref="I9:Q26 I28:Q45">
    <cfRule type="cellIs" dxfId="2" priority="1" stopIfTrue="1" operator="notEqual">
      <formula>ROUND(I9,2)</formula>
    </cfRule>
  </conditionalFormatting>
  <dataValidations count="3">
    <dataValidation type="decimal" operator="notEqual" allowBlank="1" showInputMessage="1" showErrorMessage="1" errorTitle="Nedopušten upis" error="Dopušten je upis samo brojevnih vrijednosti zaokruženih na 2 decimale. " sqref="I28:Q45" xr:uid="{00000000-0002-0000-0800-000000000000}">
      <formula1>999999999</formula1>
    </dataValidation>
    <dataValidation type="whole" operator="greaterThanOrEqual" allowBlank="1" showInputMessage="1" showErrorMessage="1" errorTitle="Pogrešan unos" error="Mogu se unijeti samo cjelobrojne pozitivne vrijednosti." sqref="Q8" xr:uid="{00000000-0002-0000-0800-000001000000}">
      <formula1>0</formula1>
    </dataValidation>
    <dataValidation type="decimal" operator="notEqual" allowBlank="1" showInputMessage="1" showErrorMessage="1" errorTitle="Nedopušten upis" error="Dopušten je upis samo brojevnih vrijednosti zaokruženih na dvije decimale. " sqref="I9:Q26" xr:uid="{00000000-0002-0000-0800-000002000000}">
      <formula1>999999999</formula1>
    </dataValidation>
  </dataValidations>
  <hyperlinks>
    <hyperlink ref="D1" location="Bilanca!A1" tooltip="Unos podataka u Bilancu" display="Bilanca" xr:uid="{00000000-0004-0000-0800-000000000000}"/>
    <hyperlink ref="C1" location="RefStr!A1" tooltip="Unos općih podataka na Referentnu stranicu" display="RefStr" xr:uid="{00000000-0004-0000-0800-000001000000}"/>
    <hyperlink ref="B1" location="Naslovna!A1" tooltip="Naslovna strana, unos općih podataka" display="Naslovna" xr:uid="{00000000-0004-0000-0800-000002000000}"/>
    <hyperlink ref="E1" location="RDG!A1" tooltip="Unos podataka u Račun dobiti i gubitka" display="RDG" xr:uid="{00000000-0004-0000-0800-000003000000}"/>
    <hyperlink ref="F1" location="Dodatni!A1" tooltip="Unos podataka u Dodatne podatke" display="PodDop" xr:uid="{00000000-0004-0000-0800-000004000000}"/>
    <hyperlink ref="G1" location="NT_I!A1" tooltip="Unos podataka u Novčani tijek po indirektnoj metodi" display="NT_I" xr:uid="{00000000-0004-0000-0800-000005000000}"/>
    <hyperlink ref="H1" location="NT_D!A1" tooltip="Unos podataka u Novčani tijek po direktnoj metodi" display="NT_D" xr:uid="{00000000-0004-0000-0800-000006000000}"/>
    <hyperlink ref="J1" location="Kont!A1" tooltip="Provjera pogrešaka i upozorenja na radnom listu Kontrole" display="Kont" xr:uid="{00000000-0004-0000-0800-000007000000}"/>
    <hyperlink ref="I1" location="PK!A1" tooltip="Unos podataka u obrazac Promjene kapitala" display="PK" xr:uid="{00000000-0004-0000-0800-000008000000}"/>
  </hyperlinks>
  <printOptions horizontalCentered="1"/>
  <pageMargins left="0.59055118110236227" right="0.59055118110236227" top="0.39370078740157483" bottom="0.39370078740157483" header="0.19685039370078741" footer="0.19685039370078741"/>
  <pageSetup paperSize="9" scale="8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Bilanca!Ispis_naslova</vt:lpstr>
      <vt:lpstr>Dodatni!Ispis_naslova</vt:lpstr>
      <vt:lpstr>Kont!Ispis_naslova</vt:lpstr>
      <vt:lpstr>PK!Ispis_naslova</vt:lpstr>
      <vt:lpstr>ODST</vt:lpstr>
      <vt:lpstr>Bilanca!OLE_LINK3</vt:lpstr>
      <vt:lpstr>Bilanca!Podrucje_ispisa</vt:lpstr>
      <vt:lpstr>Dodatni!Podrucje_ispisa</vt:lpstr>
      <vt:lpstr>Kont!Podrucje_ispisa</vt:lpstr>
      <vt:lpstr>Naslovna!Podrucje_ispisa</vt:lpstr>
      <vt:lpstr>NT_D!Podrucje_ispisa</vt:lpstr>
      <vt:lpstr>NT_I!Podrucje_ispisa</vt:lpstr>
      <vt:lpstr>PK!Podrucje_ispisa</vt:lpstr>
      <vt:lpstr>RDG!Podrucje_ispisa</vt:lpstr>
      <vt:lpstr>RefStr!Podrucje_ispisa</vt:lpstr>
    </vt:vector>
  </TitlesOfParts>
  <Manager/>
  <Company>FINA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Željko Strunjak</dc:creator>
  <cp:keywords/>
  <dc:description/>
  <cp:lastModifiedBy>Marijana Jurčić</cp:lastModifiedBy>
  <cp:revision/>
  <dcterms:created xsi:type="dcterms:W3CDTF">2008-10-17T11:51:54Z</dcterms:created>
  <dcterms:modified xsi:type="dcterms:W3CDTF">2024-02-09T14:22:48Z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2024-02-09T14:22:40Z</vt:lpwstr>
  </property>
  <property fmtid="{D5CDD505-2E9C-101B-9397-08002B2CF9AE}" pid="5" name="MSIP_Label_d1ab742f-39a8-4a62-9744-1e8791e01e71_Method">
    <vt:lpwstr>Standard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5cd081cc-2d0e-4097-b177-3848a562569d</vt:lpwstr>
  </property>
  <property fmtid="{D5CDD505-2E9C-101B-9397-08002B2CF9AE}" pid="9" name="MSIP_Label_d1ab742f-39a8-4a62-9744-1e8791e01e71_ContentBits">
    <vt:lpwstr>0</vt:lpwstr>
  </property>
</Properties>
</file>